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F:\phocadownload\presupuesto\"/>
    </mc:Choice>
  </mc:AlternateContent>
  <xr:revisionPtr revIDLastSave="0" documentId="8_{2928C651-39B9-4876-AC86-4AD81A9B3AFE}" xr6:coauthVersionLast="47" xr6:coauthVersionMax="47" xr10:uidLastSave="{00000000-0000-0000-0000-000000000000}"/>
  <bookViews>
    <workbookView xWindow="-120" yWindow="-120" windowWidth="29040" windowHeight="15720" tabRatio="595" activeTab="2" xr2:uid="{03510B7D-ACC4-475D-949A-3CAC6A6E0160}"/>
  </bookViews>
  <sheets>
    <sheet name="PORTADA" sheetId="1" r:id="rId1"/>
    <sheet name="INDICE" sheetId="2" r:id="rId2"/>
    <sheet name="INGRESOS" sheetId="97" r:id="rId3"/>
    <sheet name="OBJ. GASTO (contraloría)" sheetId="98" r:id="rId4"/>
    <sheet name="DETALLE GENERAL GASTOS (2)" sheetId="127" r:id="rId5"/>
    <sheet name="POR SERVICIO" sheetId="113" r:id="rId6"/>
    <sheet name="ANEXOS" sheetId="20" r:id="rId7"/>
    <sheet name="ESTADO APLICACION" sheetId="99" r:id="rId8"/>
    <sheet name="ESTRUC. ORG." sheetId="193" r:id="rId9"/>
    <sheet name="SAL.ALCALDE" sheetId="188" r:id="rId10"/>
    <sheet name="DEUDA" sheetId="7" r:id="rId11"/>
    <sheet name="CUADRO 5 Transf" sheetId="102" r:id="rId12"/>
    <sheet name="ING. GASTO" sheetId="21" r:id="rId13"/>
    <sheet name="20% SANIDAD" sheetId="104" r:id="rId14"/>
    <sheet name="DIETAS " sheetId="146" r:id="rId15"/>
    <sheet name="CARGAS" sheetId="124" r:id="rId16"/>
    <sheet name="GASTOS PUBLICIDAD" sheetId="109" r:id="rId17"/>
    <sheet name="APORTES EN ESPECIE " sheetId="174" r:id="rId18"/>
    <sheet name="ADQ. BIENES" sheetId="111" r:id="rId19"/>
    <sheet name="INCENTIVOS SAL" sheetId="189" r:id="rId20"/>
    <sheet name="GAST.ADM." sheetId="31" r:id="rId21"/>
    <sheet name="RELACION CONTRA " sheetId="194" r:id="rId22"/>
    <sheet name="PROHIB." sheetId="195" r:id="rId23"/>
    <sheet name="DEDICAC." sheetId="196" r:id="rId24"/>
    <sheet name="PLAN" sheetId="28" r:id="rId25"/>
    <sheet name="Catálogo" sheetId="138" r:id="rId26"/>
    <sheet name="Hoja10" sheetId="10" r:id="rId27"/>
    <sheet name="Hoja11" sheetId="11" r:id="rId28"/>
    <sheet name="Hoja12" sheetId="12" r:id="rId29"/>
    <sheet name="Hoja13" sheetId="13" r:id="rId30"/>
    <sheet name="Hoja14" sheetId="14" r:id="rId31"/>
    <sheet name="Hoja15" sheetId="15" r:id="rId32"/>
  </sheets>
  <externalReferences>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a" localSheetId="17">[9]ESTIMACION!$E$31</definedName>
    <definedName name="a" localSheetId="15">#REF!</definedName>
    <definedName name="a" localSheetId="25">#REF!</definedName>
    <definedName name="a" localSheetId="23">[7]ESTIMACION!$E$31</definedName>
    <definedName name="a" localSheetId="22">[7]ESTIMACION!$E$31</definedName>
    <definedName name="a" localSheetId="21">[7]ESTIMACION!$E$31</definedName>
    <definedName name="a" localSheetId="9">[7]ESTIMACION!$E$31</definedName>
    <definedName name="a">[2]CATALOGO!$E$31</definedName>
    <definedName name="aportes" localSheetId="17">[9]CATALOGO!$E$31</definedName>
    <definedName name="aportes" localSheetId="25">[4]CATALOGO!$E$31</definedName>
    <definedName name="aportes" localSheetId="23">[8]CATALOGO!$E$31</definedName>
    <definedName name="aportes" localSheetId="14">[6]CATALOGO!$E$31</definedName>
    <definedName name="aportes" localSheetId="19">[8]CATALOGO!$E$31</definedName>
    <definedName name="aportes" localSheetId="22">[8]CATALOGO!$E$31</definedName>
    <definedName name="aportes" localSheetId="21">[8]CATALOGO!$E$31</definedName>
    <definedName name="aportes" localSheetId="9">[8]CATALOGO!$E$31</definedName>
    <definedName name="aportes">#REF!</definedName>
    <definedName name="_xlnm.Print_Area" localSheetId="13">'20% SANIDAD'!$A:$E</definedName>
    <definedName name="_xlnm.Print_Area" localSheetId="18">'ADQ. BIENES'!$A:$C</definedName>
    <definedName name="_xlnm.Print_Area" localSheetId="17">'APORTES EN ESPECIE '!$A$1:$G$76</definedName>
    <definedName name="_xlnm.Print_Area" localSheetId="15">CARGAS!$A$1:$G$31</definedName>
    <definedName name="_xlnm.Print_Area" localSheetId="25">Catálogo!$A$1</definedName>
    <definedName name="_xlnm.Print_Area" localSheetId="11">'CUADRO 5 Transf'!$A:$F</definedName>
    <definedName name="_xlnm.Print_Area" localSheetId="23">DEDICAC.!$A$1:$G$59</definedName>
    <definedName name="_xlnm.Print_Area" localSheetId="4">'DETALLE GENERAL GASTOS (2)'!$A$1:$G$276</definedName>
    <definedName name="_xlnm.Print_Area" localSheetId="10">DEUDA!$A$1:$H$30</definedName>
    <definedName name="_xlnm.Print_Area" localSheetId="14">'DIETAS '!$A$1:$F$36</definedName>
    <definedName name="_xlnm.Print_Area" localSheetId="7">'ESTADO APLICACION'!$A$1:$G$326</definedName>
    <definedName name="_xlnm.Print_Area" localSheetId="8">'ESTRUC. ORG.'!$A$1:$Q$64</definedName>
    <definedName name="_xlnm.Print_Area" localSheetId="20">'GAST.ADM.'!$A:$D</definedName>
    <definedName name="_xlnm.Print_Area" localSheetId="16">'GASTOS PUBLICIDAD'!$A:$C</definedName>
    <definedName name="_xlnm.Print_Area" localSheetId="19">'INCENTIVOS SAL'!$A:$D</definedName>
    <definedName name="_xlnm.Print_Area" localSheetId="1">INDICE!$A$1:$F$80</definedName>
    <definedName name="_xlnm.Print_Area" localSheetId="12">'ING. GASTO'!$A:$K</definedName>
    <definedName name="_xlnm.Print_Area" localSheetId="2">INGRESOS!$A$1:$D$156</definedName>
    <definedName name="_xlnm.Print_Area" localSheetId="3">'OBJ. GASTO (contraloría)'!$A$1:$H$22</definedName>
    <definedName name="_xlnm.Print_Area" localSheetId="24">PLAN!$B$1:$D$9</definedName>
    <definedName name="_xlnm.Print_Area" localSheetId="5">'POR SERVICIO'!$A$1:$D$129</definedName>
    <definedName name="_xlnm.Print_Area" localSheetId="0">PORTADA!$B$1:$C$32</definedName>
    <definedName name="_xlnm.Print_Area" localSheetId="22">PROHIB.!$A$1:$G$58</definedName>
    <definedName name="_xlnm.Print_Area" localSheetId="21">'RELACION CONTRA '!$A$1:$I$79</definedName>
    <definedName name="_xlnm.Print_Area" localSheetId="9">SAL.ALCALDE!$A$1:$C$57</definedName>
    <definedName name="_xlnm.Print_Titles" localSheetId="17">'APORTES EN ESPECIE '!$1:$8</definedName>
    <definedName name="_xlnm.Print_Titles" localSheetId="25">Catálogo!$1:$2</definedName>
    <definedName name="_xlnm.Print_Titles" localSheetId="4">'DETALLE GENERAL GASTOS (2)'!$1:$7</definedName>
    <definedName name="_xlnm.Print_Titles" localSheetId="7">'ESTADO APLICACION'!$1:$8</definedName>
    <definedName name="_xlnm.Print_Titles" localSheetId="1">INDICE!$1:$8</definedName>
    <definedName name="_xlnm.Print_Titles" localSheetId="2">INGRESOS!$1:$7</definedName>
    <definedName name="_xlnm.Print_Titles" localSheetId="3">'OBJ. GASTO (contraloría)'!$1:$5</definedName>
    <definedName name="_xlnm.Print_Titles" localSheetId="5">'POR SERVICIO'!$1:$5</definedName>
    <definedName name="_xlnm.Print_Titles" localSheetId="21">'RELACION CONTRA '!$1:$3</definedName>
    <definedName name="xxx" localSheetId="23">#REF!</definedName>
    <definedName name="xxx" localSheetId="19">#REF!</definedName>
    <definedName name="xxx" localSheetId="22">#REF!</definedName>
    <definedName name="xxx" localSheetId="21">#REF!</definedName>
    <definedName name="xxx" localSheetId="9">#REF!</definedName>
    <definedName name="xxx">#REF!</definedName>
    <definedName name="YYYY" localSheetId="23">#REF!</definedName>
    <definedName name="YYYY" localSheetId="19">#REF!</definedName>
    <definedName name="YYYY" localSheetId="22">#REF!</definedName>
    <definedName name="YYYY" localSheetId="21">#REF!</definedName>
    <definedName name="YYYY" localSheetId="9">#REF!</definedName>
    <definedName name="YYYY">#REF!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99" l="1"/>
  <c r="E51" i="196"/>
  <c r="G51" i="196" s="1"/>
  <c r="G50" i="196" s="1"/>
  <c r="G48" i="196" s="1"/>
  <c r="E46" i="196"/>
  <c r="G46" i="196"/>
  <c r="E45" i="196"/>
  <c r="G45" i="196" s="1"/>
  <c r="E44" i="196"/>
  <c r="G44" i="196" s="1"/>
  <c r="E43" i="196"/>
  <c r="G43" i="196"/>
  <c r="E42" i="196"/>
  <c r="G42" i="196" s="1"/>
  <c r="G40" i="196" s="1"/>
  <c r="G38" i="196" s="1"/>
  <c r="E41" i="196"/>
  <c r="G41" i="196"/>
  <c r="E36" i="196"/>
  <c r="G36" i="196" s="1"/>
  <c r="E35" i="196"/>
  <c r="G35" i="196"/>
  <c r="E34" i="196"/>
  <c r="G34" i="196" s="1"/>
  <c r="E33" i="196"/>
  <c r="G33" i="196" s="1"/>
  <c r="E31" i="196"/>
  <c r="G31" i="196"/>
  <c r="E28" i="196"/>
  <c r="G28" i="196"/>
  <c r="E29" i="196"/>
  <c r="G29" i="196" s="1"/>
  <c r="E30" i="196"/>
  <c r="G30" i="196" s="1"/>
  <c r="E25" i="196"/>
  <c r="G25" i="196"/>
  <c r="E26" i="196"/>
  <c r="G26" i="196" s="1"/>
  <c r="E27" i="196"/>
  <c r="G27" i="196"/>
  <c r="E19" i="196"/>
  <c r="G19" i="196" s="1"/>
  <c r="E17" i="196"/>
  <c r="G17" i="196"/>
  <c r="E20" i="196"/>
  <c r="G20" i="196"/>
  <c r="E10" i="196"/>
  <c r="G10" i="196" s="1"/>
  <c r="E14" i="196"/>
  <c r="G14" i="196" s="1"/>
  <c r="E23" i="196"/>
  <c r="G23" i="196"/>
  <c r="E12" i="196"/>
  <c r="G12" i="196" s="1"/>
  <c r="E21" i="196"/>
  <c r="G21" i="196"/>
  <c r="E16" i="196"/>
  <c r="G16" i="196" s="1"/>
  <c r="E13" i="196"/>
  <c r="G13" i="196"/>
  <c r="E15" i="196"/>
  <c r="G15" i="196"/>
  <c r="E18" i="196"/>
  <c r="G18" i="196" s="1"/>
  <c r="G9" i="196" s="1"/>
  <c r="E11" i="196"/>
  <c r="G11" i="196" s="1"/>
  <c r="E22" i="196"/>
  <c r="G22" i="196"/>
  <c r="E44" i="195"/>
  <c r="G44" i="195" s="1"/>
  <c r="E43" i="195"/>
  <c r="G43" i="195"/>
  <c r="G38" i="195"/>
  <c r="G37" i="195" s="1"/>
  <c r="E38" i="195"/>
  <c r="E35" i="195"/>
  <c r="G35" i="195"/>
  <c r="G34" i="195"/>
  <c r="E30" i="195"/>
  <c r="G30" i="195" s="1"/>
  <c r="E29" i="195"/>
  <c r="G29" i="195" s="1"/>
  <c r="E31" i="195"/>
  <c r="G31" i="195"/>
  <c r="E21" i="195"/>
  <c r="G21" i="195" s="1"/>
  <c r="E25" i="195"/>
  <c r="G25" i="195"/>
  <c r="E28" i="195"/>
  <c r="G28" i="195" s="1"/>
  <c r="E23" i="195"/>
  <c r="G23" i="195"/>
  <c r="E26" i="195"/>
  <c r="G26" i="195"/>
  <c r="E19" i="195"/>
  <c r="G19" i="195" s="1"/>
  <c r="E22" i="195"/>
  <c r="G22" i="195" s="1"/>
  <c r="E24" i="195"/>
  <c r="G24" i="195"/>
  <c r="E27" i="195"/>
  <c r="G27" i="195" s="1"/>
  <c r="E12" i="195"/>
  <c r="G12" i="195"/>
  <c r="E15" i="195"/>
  <c r="G15" i="195" s="1"/>
  <c r="E14" i="195"/>
  <c r="G14" i="195"/>
  <c r="E13" i="195"/>
  <c r="G13" i="195" s="1"/>
  <c r="G32" i="195"/>
  <c r="G11" i="195"/>
  <c r="E18" i="195"/>
  <c r="G18" i="195" s="1"/>
  <c r="E17" i="195"/>
  <c r="G17" i="195"/>
  <c r="E16" i="195"/>
  <c r="G16" i="195" s="1"/>
  <c r="E20" i="195"/>
  <c r="G20" i="195" s="1"/>
  <c r="A1" i="195"/>
  <c r="F9" i="194"/>
  <c r="G9" i="194"/>
  <c r="I9" i="194"/>
  <c r="F10" i="194"/>
  <c r="G10" i="194"/>
  <c r="I10" i="194" s="1"/>
  <c r="F11" i="194"/>
  <c r="E11" i="194" s="1"/>
  <c r="G11" i="194" s="1"/>
  <c r="I11" i="194" s="1"/>
  <c r="F12" i="194"/>
  <c r="E12" i="194" s="1"/>
  <c r="G12" i="194" s="1"/>
  <c r="I12" i="194" s="1"/>
  <c r="F13" i="194"/>
  <c r="E13" i="194" s="1"/>
  <c r="G13" i="194" s="1"/>
  <c r="I13" i="194" s="1"/>
  <c r="F14" i="194"/>
  <c r="E14" i="194"/>
  <c r="G14" i="194" s="1"/>
  <c r="I14" i="194" s="1"/>
  <c r="F15" i="194"/>
  <c r="E15" i="194" s="1"/>
  <c r="G15" i="194" s="1"/>
  <c r="I15" i="194" s="1"/>
  <c r="F16" i="194"/>
  <c r="E16" i="194" s="1"/>
  <c r="G16" i="194" s="1"/>
  <c r="I16" i="194" s="1"/>
  <c r="F17" i="194"/>
  <c r="E17" i="194" s="1"/>
  <c r="G17" i="194" s="1"/>
  <c r="I17" i="194" s="1"/>
  <c r="F18" i="194"/>
  <c r="E18" i="194"/>
  <c r="G18" i="194" s="1"/>
  <c r="I18" i="194" s="1"/>
  <c r="F19" i="194"/>
  <c r="E19" i="194" s="1"/>
  <c r="G19" i="194" s="1"/>
  <c r="I19" i="194" s="1"/>
  <c r="F20" i="194"/>
  <c r="E20" i="194" s="1"/>
  <c r="G20" i="194" s="1"/>
  <c r="I20" i="194" s="1"/>
  <c r="F21" i="194"/>
  <c r="E21" i="194" s="1"/>
  <c r="G21" i="194" s="1"/>
  <c r="I21" i="194" s="1"/>
  <c r="F22" i="194"/>
  <c r="E22" i="194"/>
  <c r="G22" i="194" s="1"/>
  <c r="I22" i="194" s="1"/>
  <c r="F23" i="194"/>
  <c r="E23" i="194" s="1"/>
  <c r="G23" i="194" s="1"/>
  <c r="I23" i="194" s="1"/>
  <c r="F24" i="194"/>
  <c r="E24" i="194" s="1"/>
  <c r="G24" i="194" s="1"/>
  <c r="I24" i="194" s="1"/>
  <c r="F25" i="194"/>
  <c r="E25" i="194" s="1"/>
  <c r="G25" i="194" s="1"/>
  <c r="I25" i="194" s="1"/>
  <c r="F26" i="194"/>
  <c r="E26" i="194"/>
  <c r="G26" i="194" s="1"/>
  <c r="I26" i="194" s="1"/>
  <c r="F27" i="194"/>
  <c r="E27" i="194" s="1"/>
  <c r="G27" i="194" s="1"/>
  <c r="I27" i="194" s="1"/>
  <c r="F28" i="194"/>
  <c r="E28" i="194" s="1"/>
  <c r="G28" i="194" s="1"/>
  <c r="I28" i="194" s="1"/>
  <c r="A29" i="194"/>
  <c r="I32" i="194"/>
  <c r="I33" i="194"/>
  <c r="I35" i="194"/>
  <c r="G48" i="194"/>
  <c r="I48" i="194"/>
  <c r="G49" i="194"/>
  <c r="I49" i="194" s="1"/>
  <c r="G50" i="194"/>
  <c r="I50" i="194" s="1"/>
  <c r="G51" i="194"/>
  <c r="I51" i="194"/>
  <c r="G52" i="194"/>
  <c r="I52" i="194" s="1"/>
  <c r="I67" i="194" s="1"/>
  <c r="G53" i="194"/>
  <c r="I53" i="194"/>
  <c r="G54" i="194"/>
  <c r="I54" i="194" s="1"/>
  <c r="G55" i="194"/>
  <c r="I55" i="194"/>
  <c r="G56" i="194"/>
  <c r="I56" i="194"/>
  <c r="G57" i="194"/>
  <c r="I57" i="194" s="1"/>
  <c r="G58" i="194"/>
  <c r="I58" i="194" s="1"/>
  <c r="I59" i="194"/>
  <c r="G60" i="194"/>
  <c r="I60" i="194"/>
  <c r="G61" i="194"/>
  <c r="I61" i="194" s="1"/>
  <c r="A63" i="194"/>
  <c r="I12" i="31"/>
  <c r="Q20" i="193"/>
  <c r="P20" i="193"/>
  <c r="O20" i="193"/>
  <c r="N20" i="193"/>
  <c r="L20" i="193"/>
  <c r="K20" i="193"/>
  <c r="M20" i="193" s="1"/>
  <c r="J20" i="193"/>
  <c r="H20" i="193"/>
  <c r="M27" i="193" s="1"/>
  <c r="G20" i="193"/>
  <c r="M26" i="193"/>
  <c r="E20" i="193"/>
  <c r="M24" i="193" s="1"/>
  <c r="C20" i="193"/>
  <c r="M18" i="193"/>
  <c r="F18" i="193"/>
  <c r="B18" i="193"/>
  <c r="D18" i="193"/>
  <c r="M16" i="193"/>
  <c r="D16" i="193"/>
  <c r="M14" i="193"/>
  <c r="D14" i="193"/>
  <c r="M12" i="193"/>
  <c r="F12" i="193"/>
  <c r="B12" i="193"/>
  <c r="B20" i="193"/>
  <c r="M10" i="193"/>
  <c r="D10" i="193"/>
  <c r="G74" i="99"/>
  <c r="M95" i="99"/>
  <c r="M149" i="99"/>
  <c r="M150" i="99" s="1"/>
  <c r="G84" i="99"/>
  <c r="M180" i="99"/>
  <c r="M186" i="99"/>
  <c r="M242" i="99"/>
  <c r="G222" i="99"/>
  <c r="G218" i="99" s="1"/>
  <c r="G207" i="99"/>
  <c r="M96" i="99"/>
  <c r="G98" i="99"/>
  <c r="M220" i="99"/>
  <c r="O220" i="99"/>
  <c r="O221" i="99"/>
  <c r="O222" i="99"/>
  <c r="O223" i="99"/>
  <c r="O224" i="99"/>
  <c r="O225" i="99"/>
  <c r="O226" i="99"/>
  <c r="O208" i="99"/>
  <c r="O209" i="99"/>
  <c r="O210" i="99"/>
  <c r="O211" i="99"/>
  <c r="O212" i="99"/>
  <c r="O213" i="99"/>
  <c r="O215" i="99"/>
  <c r="O216" i="99"/>
  <c r="O217" i="99"/>
  <c r="O218" i="99"/>
  <c r="O219" i="99"/>
  <c r="M209" i="99"/>
  <c r="O205" i="99"/>
  <c r="O206" i="99"/>
  <c r="O207" i="99"/>
  <c r="M94" i="99"/>
  <c r="K94" i="99"/>
  <c r="M273" i="127"/>
  <c r="L273" i="127"/>
  <c r="N12" i="127"/>
  <c r="N13" i="127"/>
  <c r="N14" i="127"/>
  <c r="N15" i="127"/>
  <c r="N16" i="127"/>
  <c r="N17" i="127"/>
  <c r="N18" i="127"/>
  <c r="N19" i="127"/>
  <c r="N20" i="127"/>
  <c r="N21" i="127"/>
  <c r="N22" i="127"/>
  <c r="N23" i="127"/>
  <c r="N24" i="127"/>
  <c r="N25" i="127"/>
  <c r="N26" i="127"/>
  <c r="N27" i="127"/>
  <c r="N28" i="127"/>
  <c r="N29" i="127"/>
  <c r="N30" i="127"/>
  <c r="N31" i="127"/>
  <c r="N32" i="127"/>
  <c r="N33" i="127"/>
  <c r="N34" i="127"/>
  <c r="N35" i="127"/>
  <c r="N36" i="127"/>
  <c r="N37" i="127"/>
  <c r="N38" i="127"/>
  <c r="N39" i="127"/>
  <c r="N40" i="127"/>
  <c r="N41" i="127"/>
  <c r="N42" i="127"/>
  <c r="N43" i="127"/>
  <c r="N44" i="127"/>
  <c r="O44" i="127" s="1"/>
  <c r="P44" i="127" s="1"/>
  <c r="Q44" i="127" s="1"/>
  <c r="N45" i="127"/>
  <c r="N46" i="127"/>
  <c r="N47" i="127"/>
  <c r="N48" i="127"/>
  <c r="N49" i="127"/>
  <c r="N50" i="127"/>
  <c r="N273" i="127" s="1"/>
  <c r="N51" i="127"/>
  <c r="N52" i="127"/>
  <c r="N53" i="127"/>
  <c r="N54" i="127"/>
  <c r="N55" i="127"/>
  <c r="N56" i="127"/>
  <c r="N57" i="127"/>
  <c r="N58" i="127"/>
  <c r="N59" i="127"/>
  <c r="N60" i="127"/>
  <c r="N61" i="127"/>
  <c r="N62" i="127"/>
  <c r="N63" i="127"/>
  <c r="N64" i="127"/>
  <c r="N65" i="127"/>
  <c r="N66" i="127"/>
  <c r="N67" i="127"/>
  <c r="N68" i="127"/>
  <c r="N69" i="127"/>
  <c r="N70" i="127"/>
  <c r="N71" i="127"/>
  <c r="N72" i="127"/>
  <c r="N73" i="127"/>
  <c r="N74" i="127"/>
  <c r="N75" i="127"/>
  <c r="N76" i="127"/>
  <c r="N77" i="127"/>
  <c r="N78" i="127"/>
  <c r="N79" i="127"/>
  <c r="N80" i="127"/>
  <c r="N81" i="127"/>
  <c r="N82" i="127"/>
  <c r="N83" i="127"/>
  <c r="N84" i="127"/>
  <c r="N85" i="127"/>
  <c r="N86" i="127"/>
  <c r="N87" i="127"/>
  <c r="N88" i="127"/>
  <c r="N89" i="127"/>
  <c r="N90" i="127"/>
  <c r="N91" i="127"/>
  <c r="N92" i="127"/>
  <c r="N93" i="127"/>
  <c r="N94" i="127"/>
  <c r="N95" i="127"/>
  <c r="N96" i="127"/>
  <c r="N97" i="127"/>
  <c r="N98" i="127"/>
  <c r="N99" i="127"/>
  <c r="N100" i="127"/>
  <c r="N101" i="127"/>
  <c r="N102" i="127"/>
  <c r="N103" i="127"/>
  <c r="N104" i="127"/>
  <c r="N105" i="127"/>
  <c r="N106" i="127"/>
  <c r="N107" i="127"/>
  <c r="N108" i="127"/>
  <c r="N109" i="127"/>
  <c r="N110" i="127"/>
  <c r="N111" i="127"/>
  <c r="N112" i="127"/>
  <c r="N113" i="127"/>
  <c r="N114" i="127"/>
  <c r="N115" i="127"/>
  <c r="N116" i="127"/>
  <c r="N117" i="127"/>
  <c r="N118" i="127"/>
  <c r="N119" i="127"/>
  <c r="N120" i="127"/>
  <c r="N121" i="127"/>
  <c r="N122" i="127"/>
  <c r="N123" i="127"/>
  <c r="N124" i="127"/>
  <c r="N125" i="127"/>
  <c r="O125" i="127"/>
  <c r="P125" i="127" s="1"/>
  <c r="Q125" i="127" s="1"/>
  <c r="N126" i="127"/>
  <c r="N127" i="127"/>
  <c r="N128" i="127"/>
  <c r="N129" i="127"/>
  <c r="N130" i="127"/>
  <c r="N131" i="127"/>
  <c r="N132" i="127"/>
  <c r="N133" i="127"/>
  <c r="N134" i="127"/>
  <c r="N135" i="127"/>
  <c r="N136" i="127"/>
  <c r="N137" i="127"/>
  <c r="N138" i="127"/>
  <c r="N139" i="127"/>
  <c r="N140" i="127"/>
  <c r="N141" i="127"/>
  <c r="N142" i="127"/>
  <c r="N143" i="127"/>
  <c r="N144" i="127"/>
  <c r="N145" i="127"/>
  <c r="N146" i="127"/>
  <c r="N147" i="127"/>
  <c r="N148" i="127"/>
  <c r="N149" i="127"/>
  <c r="N150" i="127"/>
  <c r="N151" i="127"/>
  <c r="N152" i="127"/>
  <c r="N153" i="127"/>
  <c r="N154" i="127"/>
  <c r="N155" i="127"/>
  <c r="N156" i="127"/>
  <c r="N157" i="127"/>
  <c r="N158" i="127"/>
  <c r="N159" i="127"/>
  <c r="N160" i="127"/>
  <c r="N161" i="127"/>
  <c r="N162" i="127"/>
  <c r="N163" i="127"/>
  <c r="N164" i="127"/>
  <c r="N165" i="127"/>
  <c r="N166" i="127"/>
  <c r="N167" i="127"/>
  <c r="N168" i="127"/>
  <c r="N169" i="127"/>
  <c r="N170" i="127"/>
  <c r="N171" i="127"/>
  <c r="N172" i="127"/>
  <c r="N173" i="127"/>
  <c r="N174" i="127"/>
  <c r="N175" i="127"/>
  <c r="N176" i="127"/>
  <c r="N177" i="127"/>
  <c r="N178" i="127"/>
  <c r="N179" i="127"/>
  <c r="N180" i="127"/>
  <c r="N181" i="127"/>
  <c r="N182" i="127"/>
  <c r="N183" i="127"/>
  <c r="N184" i="127"/>
  <c r="N185" i="127"/>
  <c r="N186" i="127"/>
  <c r="N187" i="127"/>
  <c r="N188" i="127"/>
  <c r="N189" i="127"/>
  <c r="N190" i="127"/>
  <c r="N191" i="127"/>
  <c r="N192" i="127"/>
  <c r="N193" i="127"/>
  <c r="N194" i="127"/>
  <c r="N195" i="127"/>
  <c r="N196" i="127"/>
  <c r="N197" i="127"/>
  <c r="N198" i="127"/>
  <c r="N199" i="127"/>
  <c r="N200" i="127"/>
  <c r="N201" i="127"/>
  <c r="N202" i="127"/>
  <c r="N203" i="127"/>
  <c r="N204" i="127"/>
  <c r="N205" i="127"/>
  <c r="N206" i="127"/>
  <c r="N207" i="127"/>
  <c r="N208" i="127"/>
  <c r="N209" i="127"/>
  <c r="N210" i="127"/>
  <c r="N211" i="127"/>
  <c r="N212" i="127"/>
  <c r="N213" i="127"/>
  <c r="N214" i="127"/>
  <c r="N215" i="127"/>
  <c r="N216" i="127"/>
  <c r="N217" i="127"/>
  <c r="N218" i="127"/>
  <c r="N219" i="127"/>
  <c r="N220" i="127"/>
  <c r="N221" i="127"/>
  <c r="N222" i="127"/>
  <c r="N223" i="127"/>
  <c r="N224" i="127"/>
  <c r="N225" i="127"/>
  <c r="N226" i="127"/>
  <c r="N227" i="127"/>
  <c r="N228" i="127"/>
  <c r="N229" i="127"/>
  <c r="N230" i="127"/>
  <c r="N231" i="127"/>
  <c r="N232" i="127"/>
  <c r="N233" i="127"/>
  <c r="N234" i="127"/>
  <c r="N235" i="127"/>
  <c r="N236" i="127"/>
  <c r="N237" i="127"/>
  <c r="N238" i="127"/>
  <c r="N239" i="127"/>
  <c r="N240" i="127"/>
  <c r="O240" i="127" s="1"/>
  <c r="P240" i="127" s="1"/>
  <c r="Q240" i="127" s="1"/>
  <c r="N241" i="127"/>
  <c r="N242" i="127"/>
  <c r="N243" i="127"/>
  <c r="N244" i="127"/>
  <c r="N245" i="127"/>
  <c r="N246" i="127"/>
  <c r="N247" i="127"/>
  <c r="N248" i="127"/>
  <c r="N249" i="127"/>
  <c r="N250" i="127"/>
  <c r="N251" i="127"/>
  <c r="N252" i="127"/>
  <c r="N253" i="127"/>
  <c r="N254" i="127"/>
  <c r="N255" i="127"/>
  <c r="N256" i="127"/>
  <c r="N257" i="127"/>
  <c r="N258" i="127"/>
  <c r="N259" i="127"/>
  <c r="N260" i="127"/>
  <c r="N261" i="127"/>
  <c r="N262" i="127"/>
  <c r="N263" i="127"/>
  <c r="N264" i="127"/>
  <c r="N265" i="127"/>
  <c r="N266" i="127"/>
  <c r="N267" i="127"/>
  <c r="N268" i="127"/>
  <c r="N269" i="127"/>
  <c r="N270" i="127"/>
  <c r="N271" i="127"/>
  <c r="N272" i="127"/>
  <c r="N11" i="127"/>
  <c r="L9" i="98"/>
  <c r="M9" i="98"/>
  <c r="N13" i="98"/>
  <c r="N14" i="98"/>
  <c r="N15" i="98"/>
  <c r="N16" i="98"/>
  <c r="N17" i="98"/>
  <c r="N18" i="98"/>
  <c r="N19" i="98"/>
  <c r="N20" i="98"/>
  <c r="N12" i="98"/>
  <c r="I19" i="21"/>
  <c r="I8" i="31"/>
  <c r="I9" i="31"/>
  <c r="I10" i="31"/>
  <c r="I11" i="31"/>
  <c r="G9" i="174"/>
  <c r="AC9" i="174" s="1"/>
  <c r="A10" i="174"/>
  <c r="A11" i="174" s="1"/>
  <c r="A12" i="174" s="1"/>
  <c r="A13" i="174" s="1"/>
  <c r="A14" i="174" s="1"/>
  <c r="A15" i="174" s="1"/>
  <c r="A16" i="174" s="1"/>
  <c r="A17" i="174" s="1"/>
  <c r="A18" i="174" s="1"/>
  <c r="A19" i="174" s="1"/>
  <c r="A20" i="174" s="1"/>
  <c r="A21" i="174" s="1"/>
  <c r="A22" i="174" s="1"/>
  <c r="A23" i="174" s="1"/>
  <c r="A24" i="174" s="1"/>
  <c r="A25" i="174" s="1"/>
  <c r="A26" i="174" s="1"/>
  <c r="A27" i="174" s="1"/>
  <c r="A28" i="174" s="1"/>
  <c r="A29" i="174" s="1"/>
  <c r="A30" i="174" s="1"/>
  <c r="A31" i="174" s="1"/>
  <c r="A32" i="174" s="1"/>
  <c r="A33" i="174" s="1"/>
  <c r="A34" i="174" s="1"/>
  <c r="A35" i="174" s="1"/>
  <c r="A36" i="174" s="1"/>
  <c r="A37" i="174" s="1"/>
  <c r="A38" i="174" s="1"/>
  <c r="A39" i="174" s="1"/>
  <c r="A40" i="174" s="1"/>
  <c r="A41" i="174" s="1"/>
  <c r="A42" i="174" s="1"/>
  <c r="A43" i="174" s="1"/>
  <c r="A44" i="174" s="1"/>
  <c r="A45" i="174" s="1"/>
  <c r="A46" i="174" s="1"/>
  <c r="A47" i="174" s="1"/>
  <c r="A48" i="174" s="1"/>
  <c r="A49" i="174" s="1"/>
  <c r="A50" i="174" s="1"/>
  <c r="A51" i="174" s="1"/>
  <c r="A52" i="174" s="1"/>
  <c r="A53" i="174" s="1"/>
  <c r="A54" i="174" s="1"/>
  <c r="A55" i="174" s="1"/>
  <c r="A56" i="174" s="1"/>
  <c r="A57" i="174" s="1"/>
  <c r="A58" i="174" s="1"/>
  <c r="A59" i="174" s="1"/>
  <c r="A60" i="174" s="1"/>
  <c r="A61" i="174" s="1"/>
  <c r="A62" i="174" s="1"/>
  <c r="A63" i="174" s="1"/>
  <c r="A64" i="174" s="1"/>
  <c r="A65" i="174" s="1"/>
  <c r="A66" i="174" s="1"/>
  <c r="A67" i="174" s="1"/>
  <c r="A68" i="174" s="1"/>
  <c r="A69" i="174" s="1"/>
  <c r="G10" i="174"/>
  <c r="AC10" i="174"/>
  <c r="G11" i="174"/>
  <c r="AC11" i="174" s="1"/>
  <c r="G12" i="174"/>
  <c r="AC12" i="174" s="1"/>
  <c r="G13" i="174"/>
  <c r="AC13" i="174"/>
  <c r="G14" i="174"/>
  <c r="AC14" i="174" s="1"/>
  <c r="G15" i="174"/>
  <c r="AC15" i="174"/>
  <c r="G16" i="174"/>
  <c r="AC16" i="174" s="1"/>
  <c r="G17" i="174"/>
  <c r="AC17" i="174"/>
  <c r="G18" i="174"/>
  <c r="AC18" i="174"/>
  <c r="G19" i="174"/>
  <c r="AC19" i="174" s="1"/>
  <c r="G20" i="174"/>
  <c r="AC20" i="174" s="1"/>
  <c r="G21" i="174"/>
  <c r="AC21" i="174"/>
  <c r="G22" i="174"/>
  <c r="AC22" i="174" s="1"/>
  <c r="G23" i="174"/>
  <c r="AC23" i="174"/>
  <c r="G24" i="174"/>
  <c r="AC24" i="174" s="1"/>
  <c r="G25" i="174"/>
  <c r="AC25" i="174"/>
  <c r="G26" i="174"/>
  <c r="AC26" i="174"/>
  <c r="G27" i="174"/>
  <c r="AC27" i="174" s="1"/>
  <c r="G28" i="174"/>
  <c r="AC28" i="174" s="1"/>
  <c r="G29" i="174"/>
  <c r="AC29" i="174"/>
  <c r="G30" i="174"/>
  <c r="AC30" i="174" s="1"/>
  <c r="G31" i="174"/>
  <c r="AC31" i="174"/>
  <c r="G32" i="174"/>
  <c r="AC32" i="174" s="1"/>
  <c r="G33" i="174"/>
  <c r="AC33" i="174"/>
  <c r="G34" i="174"/>
  <c r="AC34" i="174"/>
  <c r="G35" i="174"/>
  <c r="AC35" i="174" s="1"/>
  <c r="G36" i="174"/>
  <c r="AC36" i="174" s="1"/>
  <c r="G37" i="174"/>
  <c r="AC37" i="174"/>
  <c r="G38" i="174"/>
  <c r="AC38" i="174" s="1"/>
  <c r="G39" i="174"/>
  <c r="AC39" i="174"/>
  <c r="G40" i="174"/>
  <c r="AC40" i="174" s="1"/>
  <c r="G41" i="174"/>
  <c r="AC41" i="174"/>
  <c r="G42" i="174"/>
  <c r="AC42" i="174"/>
  <c r="G43" i="174"/>
  <c r="AC43" i="174" s="1"/>
  <c r="G44" i="174"/>
  <c r="AC44" i="174" s="1"/>
  <c r="G45" i="174"/>
  <c r="AC45" i="174"/>
  <c r="G46" i="174"/>
  <c r="AC46" i="174" s="1"/>
  <c r="G47" i="174"/>
  <c r="AC47" i="174"/>
  <c r="G48" i="174"/>
  <c r="AC48" i="174" s="1"/>
  <c r="G49" i="174"/>
  <c r="AC49" i="174"/>
  <c r="G50" i="174"/>
  <c r="AC50" i="174"/>
  <c r="G51" i="174"/>
  <c r="AC51" i="174" s="1"/>
  <c r="G52" i="174"/>
  <c r="AC52" i="174" s="1"/>
  <c r="G53" i="174"/>
  <c r="AC53" i="174"/>
  <c r="G54" i="174"/>
  <c r="AC54" i="174" s="1"/>
  <c r="G55" i="174"/>
  <c r="AC55" i="174"/>
  <c r="G56" i="174"/>
  <c r="AC56" i="174" s="1"/>
  <c r="G57" i="174"/>
  <c r="AC57" i="174"/>
  <c r="G58" i="174"/>
  <c r="AC58" i="174"/>
  <c r="G59" i="174"/>
  <c r="AC59" i="174" s="1"/>
  <c r="G60" i="174"/>
  <c r="AC60" i="174" s="1"/>
  <c r="G61" i="174"/>
  <c r="AC61" i="174"/>
  <c r="G62" i="174"/>
  <c r="AC62" i="174" s="1"/>
  <c r="G63" i="174"/>
  <c r="AC63" i="174"/>
  <c r="G64" i="174"/>
  <c r="AC64" i="174" s="1"/>
  <c r="G65" i="174"/>
  <c r="AC65" i="174"/>
  <c r="G66" i="174"/>
  <c r="AC66" i="174"/>
  <c r="G67" i="174"/>
  <c r="AC67" i="174" s="1"/>
  <c r="G68" i="174"/>
  <c r="G69" i="174"/>
  <c r="I71" i="174"/>
  <c r="J71" i="174"/>
  <c r="K71" i="174"/>
  <c r="L71" i="174"/>
  <c r="M71" i="174"/>
  <c r="N71" i="174"/>
  <c r="O71" i="174"/>
  <c r="P71" i="174"/>
  <c r="Q71" i="174"/>
  <c r="R71" i="174"/>
  <c r="S71" i="174"/>
  <c r="T71" i="174"/>
  <c r="U71" i="174"/>
  <c r="V71" i="174"/>
  <c r="W71" i="174"/>
  <c r="X71" i="174"/>
  <c r="Y71" i="174"/>
  <c r="Z71" i="174"/>
  <c r="A1" i="146"/>
  <c r="F11" i="146"/>
  <c r="C16" i="146"/>
  <c r="E19" i="146"/>
  <c r="H19" i="146"/>
  <c r="H24" i="146" s="1"/>
  <c r="E22" i="146"/>
  <c r="E25" i="146"/>
  <c r="D14" i="104"/>
  <c r="D15" i="104"/>
  <c r="D27" i="104"/>
  <c r="D34" i="104"/>
  <c r="C9" i="21"/>
  <c r="D9" i="21"/>
  <c r="C27" i="21"/>
  <c r="D27" i="21"/>
  <c r="E27" i="21"/>
  <c r="F27" i="21"/>
  <c r="G27" i="21"/>
  <c r="H27" i="21"/>
  <c r="I27" i="21"/>
  <c r="J27" i="21"/>
  <c r="K27" i="21"/>
  <c r="F34" i="21"/>
  <c r="E13" i="102"/>
  <c r="E12" i="102" s="1"/>
  <c r="F11" i="7"/>
  <c r="F20" i="7" s="1"/>
  <c r="F12" i="7"/>
  <c r="F13" i="7"/>
  <c r="F14" i="7"/>
  <c r="F15" i="7"/>
  <c r="F16" i="7"/>
  <c r="F17" i="7"/>
  <c r="F18" i="7"/>
  <c r="F19" i="7"/>
  <c r="D20" i="7"/>
  <c r="E20" i="7"/>
  <c r="H20" i="7"/>
  <c r="B16" i="188"/>
  <c r="B17" i="188" s="1"/>
  <c r="C16" i="188"/>
  <c r="C17" i="188"/>
  <c r="B18" i="188"/>
  <c r="C18" i="188"/>
  <c r="C22" i="188" s="1"/>
  <c r="D31" i="188"/>
  <c r="D32" i="188"/>
  <c r="A1" i="99"/>
  <c r="B1" i="7"/>
  <c r="A1" i="102" s="1"/>
  <c r="O8" i="99"/>
  <c r="O9" i="99"/>
  <c r="A10" i="99"/>
  <c r="O10" i="99"/>
  <c r="L11" i="99"/>
  <c r="O11" i="99"/>
  <c r="O12" i="99"/>
  <c r="L13" i="99"/>
  <c r="O13" i="99"/>
  <c r="J14" i="99"/>
  <c r="K14" i="99"/>
  <c r="O14" i="99"/>
  <c r="G15" i="99"/>
  <c r="K15" i="99"/>
  <c r="O15" i="99"/>
  <c r="J16" i="99"/>
  <c r="K16" i="99" s="1"/>
  <c r="O16" i="99"/>
  <c r="O17" i="99"/>
  <c r="O18" i="99"/>
  <c r="O19" i="99"/>
  <c r="O20" i="99"/>
  <c r="O21" i="99"/>
  <c r="O22" i="99"/>
  <c r="O23" i="99"/>
  <c r="O24" i="99"/>
  <c r="G25" i="99"/>
  <c r="O25" i="99"/>
  <c r="O26" i="99"/>
  <c r="O27" i="99"/>
  <c r="O28" i="99"/>
  <c r="O29" i="99"/>
  <c r="G30" i="99"/>
  <c r="O30" i="99"/>
  <c r="O31" i="99"/>
  <c r="O32" i="99"/>
  <c r="O34" i="99"/>
  <c r="O35" i="99"/>
  <c r="G36" i="99"/>
  <c r="O36" i="99"/>
  <c r="A37" i="99"/>
  <c r="O37" i="99"/>
  <c r="O38" i="99"/>
  <c r="O39" i="99"/>
  <c r="O40" i="99"/>
  <c r="O41" i="99"/>
  <c r="O42" i="99"/>
  <c r="O43" i="99"/>
  <c r="O44" i="99"/>
  <c r="O45" i="99"/>
  <c r="O46" i="99"/>
  <c r="O49" i="99"/>
  <c r="O50" i="99"/>
  <c r="O52" i="99"/>
  <c r="O54" i="99"/>
  <c r="G55" i="99"/>
  <c r="O55" i="99"/>
  <c r="A56" i="99"/>
  <c r="O56" i="99"/>
  <c r="O57" i="99"/>
  <c r="O58" i="99"/>
  <c r="O59" i="99"/>
  <c r="O61" i="99"/>
  <c r="O62" i="99"/>
  <c r="G63" i="99"/>
  <c r="O63" i="99"/>
  <c r="A64" i="99"/>
  <c r="O64" i="99"/>
  <c r="O65" i="99"/>
  <c r="O66" i="99"/>
  <c r="O67" i="99"/>
  <c r="O68" i="99"/>
  <c r="O69" i="99"/>
  <c r="O71" i="99"/>
  <c r="O72" i="99"/>
  <c r="O73" i="99"/>
  <c r="G79" i="99"/>
  <c r="G82" i="99"/>
  <c r="G83" i="99"/>
  <c r="G86" i="99"/>
  <c r="O89" i="99"/>
  <c r="O90" i="99"/>
  <c r="O91" i="99"/>
  <c r="O92" i="99"/>
  <c r="G93" i="99"/>
  <c r="G91" i="99" s="1"/>
  <c r="O96" i="99"/>
  <c r="O101" i="99"/>
  <c r="O102" i="99"/>
  <c r="O105" i="99"/>
  <c r="O106" i="99"/>
  <c r="G107" i="99"/>
  <c r="O107" i="99"/>
  <c r="A108" i="99"/>
  <c r="O108" i="99"/>
  <c r="O109" i="99"/>
  <c r="O110" i="99"/>
  <c r="O111" i="99"/>
  <c r="O112" i="99"/>
  <c r="O113" i="99"/>
  <c r="O114" i="99"/>
  <c r="O116" i="99"/>
  <c r="O118" i="99"/>
  <c r="O119" i="99"/>
  <c r="O121" i="99"/>
  <c r="O123" i="99"/>
  <c r="G124" i="99"/>
  <c r="O124" i="99"/>
  <c r="O125" i="99"/>
  <c r="O126" i="99"/>
  <c r="O127" i="99"/>
  <c r="O128" i="99"/>
  <c r="O129" i="99"/>
  <c r="O130" i="99"/>
  <c r="O131" i="99"/>
  <c r="G132" i="99"/>
  <c r="O132" i="99"/>
  <c r="A133" i="99"/>
  <c r="O133" i="99"/>
  <c r="O134" i="99"/>
  <c r="O135" i="99"/>
  <c r="O136" i="99"/>
  <c r="O137" i="99"/>
  <c r="Q137" i="99"/>
  <c r="R137" i="99"/>
  <c r="O138" i="99"/>
  <c r="A139" i="99"/>
  <c r="O139" i="99"/>
  <c r="O140" i="99"/>
  <c r="O141" i="99"/>
  <c r="O142" i="99"/>
  <c r="O143" i="99"/>
  <c r="O144" i="99"/>
  <c r="O145" i="99"/>
  <c r="Q145" i="99"/>
  <c r="A146" i="99"/>
  <c r="O146" i="99"/>
  <c r="Q146" i="99"/>
  <c r="O147" i="99"/>
  <c r="O148" i="99"/>
  <c r="O149" i="99"/>
  <c r="O150" i="99"/>
  <c r="G151" i="99"/>
  <c r="O151" i="99"/>
  <c r="A152" i="99"/>
  <c r="O152" i="99"/>
  <c r="O153" i="99"/>
  <c r="O154" i="99"/>
  <c r="O155" i="99"/>
  <c r="O156" i="99"/>
  <c r="G157" i="99"/>
  <c r="O157" i="99"/>
  <c r="A158" i="99"/>
  <c r="O158" i="99"/>
  <c r="O159" i="99"/>
  <c r="O160" i="99"/>
  <c r="O161" i="99"/>
  <c r="O162" i="99"/>
  <c r="G163" i="99"/>
  <c r="O163" i="99"/>
  <c r="O164" i="99"/>
  <c r="O165" i="99"/>
  <c r="O166" i="99"/>
  <c r="O167" i="99"/>
  <c r="O168" i="99"/>
  <c r="O169" i="99"/>
  <c r="O170" i="99"/>
  <c r="O171" i="99"/>
  <c r="G172" i="99"/>
  <c r="O172" i="99"/>
  <c r="A173" i="99"/>
  <c r="O173" i="99"/>
  <c r="O174" i="99"/>
  <c r="O175" i="99"/>
  <c r="O176" i="99"/>
  <c r="O177" i="99"/>
  <c r="G178" i="99"/>
  <c r="O178" i="99"/>
  <c r="A179" i="99"/>
  <c r="O179" i="99"/>
  <c r="O180" i="99"/>
  <c r="O181" i="99"/>
  <c r="O182" i="99"/>
  <c r="O183" i="99"/>
  <c r="G184" i="99"/>
  <c r="O184" i="99"/>
  <c r="A185" i="99"/>
  <c r="O185" i="99"/>
  <c r="O186" i="99"/>
  <c r="O187" i="99"/>
  <c r="O188" i="99"/>
  <c r="O189" i="99"/>
  <c r="Q189" i="99"/>
  <c r="G190" i="99"/>
  <c r="O190" i="99"/>
  <c r="A191" i="99"/>
  <c r="L191" i="99"/>
  <c r="O191" i="99"/>
  <c r="O192" i="99"/>
  <c r="O193" i="99"/>
  <c r="O194" i="99"/>
  <c r="O195" i="99"/>
  <c r="O196" i="99"/>
  <c r="O197" i="99"/>
  <c r="O198" i="99"/>
  <c r="O200" i="99"/>
  <c r="O202" i="99"/>
  <c r="G203" i="99"/>
  <c r="O203" i="99"/>
  <c r="O204" i="99"/>
  <c r="O229" i="99"/>
  <c r="G231" i="99"/>
  <c r="O231" i="99"/>
  <c r="A232" i="99"/>
  <c r="O232" i="99"/>
  <c r="O233" i="99"/>
  <c r="O234" i="99"/>
  <c r="G235" i="99"/>
  <c r="O235" i="99"/>
  <c r="A236" i="99"/>
  <c r="O236" i="99"/>
  <c r="O237" i="99"/>
  <c r="O238" i="99"/>
  <c r="O239" i="99"/>
  <c r="O240" i="99"/>
  <c r="A241" i="99"/>
  <c r="O241" i="99"/>
  <c r="G243" i="99"/>
  <c r="G240" i="99"/>
  <c r="O243" i="99"/>
  <c r="O244" i="99"/>
  <c r="O245" i="99"/>
  <c r="B246" i="99"/>
  <c r="J248" i="99" s="1"/>
  <c r="K248" i="99" s="1"/>
  <c r="G246" i="99"/>
  <c r="O246" i="99"/>
  <c r="O247" i="99"/>
  <c r="O248" i="99"/>
  <c r="O249" i="99"/>
  <c r="O250" i="99"/>
  <c r="O251" i="99"/>
  <c r="O252" i="99"/>
  <c r="G253" i="99"/>
  <c r="O253" i="99"/>
  <c r="A254" i="99"/>
  <c r="O254" i="99"/>
  <c r="O255" i="99"/>
  <c r="O256" i="99"/>
  <c r="O257" i="99"/>
  <c r="O259" i="99"/>
  <c r="G260" i="99"/>
  <c r="O260" i="99"/>
  <c r="A261" i="99"/>
  <c r="O261" i="99"/>
  <c r="O262" i="99"/>
  <c r="O263" i="99"/>
  <c r="O264" i="99"/>
  <c r="O265" i="99"/>
  <c r="O267" i="99"/>
  <c r="O268" i="99"/>
  <c r="B269" i="99"/>
  <c r="G269" i="99"/>
  <c r="H269" i="99"/>
  <c r="O269" i="99"/>
  <c r="A270" i="99"/>
  <c r="O270" i="99"/>
  <c r="O271" i="99"/>
  <c r="O272" i="99"/>
  <c r="O273" i="99"/>
  <c r="O274" i="99"/>
  <c r="B275" i="99"/>
  <c r="H275" i="99" s="1"/>
  <c r="G275" i="99"/>
  <c r="O275" i="99"/>
  <c r="A276" i="99"/>
  <c r="O276" i="99"/>
  <c r="O277" i="99"/>
  <c r="O278" i="99"/>
  <c r="O279" i="99"/>
  <c r="O280" i="99"/>
  <c r="O284" i="99"/>
  <c r="B285" i="99"/>
  <c r="G285" i="99"/>
  <c r="O285" i="99"/>
  <c r="A286" i="99"/>
  <c r="O286" i="99"/>
  <c r="O287" i="99"/>
  <c r="O288" i="99"/>
  <c r="O289" i="99"/>
  <c r="O290" i="99"/>
  <c r="O291" i="99"/>
  <c r="B292" i="99"/>
  <c r="G292" i="99"/>
  <c r="O292" i="99"/>
  <c r="A293" i="99"/>
  <c r="O293" i="99"/>
  <c r="O294" i="99"/>
  <c r="O295" i="99"/>
  <c r="O296" i="99"/>
  <c r="O297" i="99"/>
  <c r="B298" i="99"/>
  <c r="G298" i="99"/>
  <c r="O298" i="99"/>
  <c r="A299" i="99"/>
  <c r="O299" i="99"/>
  <c r="O300" i="99"/>
  <c r="O301" i="99"/>
  <c r="O302" i="99"/>
  <c r="O303" i="99"/>
  <c r="O304" i="99"/>
  <c r="B305" i="99"/>
  <c r="H305" i="99" s="1"/>
  <c r="G305" i="99"/>
  <c r="O305" i="99"/>
  <c r="A306" i="99"/>
  <c r="O306" i="99"/>
  <c r="O307" i="99"/>
  <c r="O308" i="99"/>
  <c r="O309" i="99"/>
  <c r="O310" i="99"/>
  <c r="O311" i="99"/>
  <c r="B312" i="99"/>
  <c r="H312" i="99" s="1"/>
  <c r="G312" i="99"/>
  <c r="O312" i="99"/>
  <c r="A313" i="99"/>
  <c r="O313" i="99"/>
  <c r="O314" i="99"/>
  <c r="O315" i="99"/>
  <c r="O316" i="99"/>
  <c r="O317" i="99"/>
  <c r="A50" i="113"/>
  <c r="B50" i="113"/>
  <c r="A51" i="113"/>
  <c r="B51" i="113"/>
  <c r="C51" i="113"/>
  <c r="A56" i="113"/>
  <c r="B56" i="113"/>
  <c r="A57" i="113"/>
  <c r="B57" i="113"/>
  <c r="A58" i="113"/>
  <c r="B58" i="113"/>
  <c r="A59" i="113"/>
  <c r="B59" i="113"/>
  <c r="A60" i="113"/>
  <c r="B60" i="113"/>
  <c r="A61" i="113"/>
  <c r="B61" i="113"/>
  <c r="A62" i="113"/>
  <c r="B62" i="113"/>
  <c r="A67" i="113"/>
  <c r="B67" i="113"/>
  <c r="A68" i="113"/>
  <c r="B68" i="113"/>
  <c r="A73" i="113"/>
  <c r="B73" i="113"/>
  <c r="A74" i="113"/>
  <c r="B74" i="113"/>
  <c r="A79" i="113"/>
  <c r="B79" i="113"/>
  <c r="A80" i="113"/>
  <c r="B80" i="113"/>
  <c r="A81" i="113"/>
  <c r="B81" i="113"/>
  <c r="A82" i="113"/>
  <c r="B82" i="113"/>
  <c r="A83" i="113"/>
  <c r="B83" i="113"/>
  <c r="A84" i="113"/>
  <c r="B84" i="113"/>
  <c r="A85" i="113"/>
  <c r="B85" i="113"/>
  <c r="E96" i="113"/>
  <c r="C99" i="113"/>
  <c r="C105" i="113"/>
  <c r="C111" i="113"/>
  <c r="C117" i="113"/>
  <c r="E122" i="113"/>
  <c r="F122" i="113"/>
  <c r="C131" i="113"/>
  <c r="B10" i="127"/>
  <c r="B11" i="127"/>
  <c r="B12" i="127"/>
  <c r="B13" i="127"/>
  <c r="B14" i="127"/>
  <c r="B15" i="127"/>
  <c r="B17" i="127"/>
  <c r="B18" i="127"/>
  <c r="B19" i="127"/>
  <c r="B20" i="127"/>
  <c r="B21" i="127"/>
  <c r="B22" i="127"/>
  <c r="B24" i="127"/>
  <c r="B25" i="127"/>
  <c r="B26" i="127"/>
  <c r="B27" i="127"/>
  <c r="B28" i="127"/>
  <c r="B29" i="127"/>
  <c r="B31" i="127"/>
  <c r="B32" i="127"/>
  <c r="B33" i="127"/>
  <c r="B34" i="127"/>
  <c r="B35" i="127"/>
  <c r="B36" i="127"/>
  <c r="B38" i="127"/>
  <c r="B39" i="127"/>
  <c r="B40" i="127"/>
  <c r="B41" i="127"/>
  <c r="B42" i="127"/>
  <c r="B43" i="127"/>
  <c r="B45" i="127"/>
  <c r="B46" i="127"/>
  <c r="B47" i="127"/>
  <c r="B52" i="127"/>
  <c r="B53" i="127"/>
  <c r="B54" i="127"/>
  <c r="B55" i="127"/>
  <c r="B56" i="127"/>
  <c r="B57" i="127"/>
  <c r="B59" i="127"/>
  <c r="B60" i="127"/>
  <c r="B61" i="127"/>
  <c r="B62" i="127"/>
  <c r="B63" i="127"/>
  <c r="B64" i="127"/>
  <c r="B66" i="127"/>
  <c r="B67" i="127"/>
  <c r="B68" i="127"/>
  <c r="B69" i="127"/>
  <c r="B70" i="127"/>
  <c r="B71" i="127"/>
  <c r="B72" i="127"/>
  <c r="B73" i="127"/>
  <c r="B75" i="127"/>
  <c r="B76" i="127"/>
  <c r="B77" i="127"/>
  <c r="B78" i="127"/>
  <c r="B79" i="127"/>
  <c r="B80" i="127"/>
  <c r="B81" i="127"/>
  <c r="B82" i="127"/>
  <c r="B84" i="127"/>
  <c r="B85" i="127"/>
  <c r="B86" i="127"/>
  <c r="B87" i="127"/>
  <c r="B88" i="127"/>
  <c r="B90" i="127"/>
  <c r="B91" i="127"/>
  <c r="B92" i="127"/>
  <c r="B93" i="127"/>
  <c r="B95" i="127"/>
  <c r="B96" i="127"/>
  <c r="B97" i="127"/>
  <c r="B98" i="127"/>
  <c r="B100" i="127"/>
  <c r="B101" i="127"/>
  <c r="B102" i="127"/>
  <c r="B103" i="127"/>
  <c r="B104" i="127"/>
  <c r="B105" i="127"/>
  <c r="B106" i="127"/>
  <c r="B107" i="127"/>
  <c r="B108" i="127"/>
  <c r="B109" i="127"/>
  <c r="B112" i="127"/>
  <c r="B113" i="127"/>
  <c r="B114" i="127"/>
  <c r="B115" i="127"/>
  <c r="B116" i="127"/>
  <c r="B118" i="127"/>
  <c r="B119" i="127"/>
  <c r="B120" i="127"/>
  <c r="B121" i="127"/>
  <c r="B122" i="127"/>
  <c r="B123" i="127"/>
  <c r="B124" i="127"/>
  <c r="B132" i="127"/>
  <c r="B133" i="127"/>
  <c r="B134" i="127"/>
  <c r="B135" i="127"/>
  <c r="B136" i="127"/>
  <c r="B137" i="127"/>
  <c r="B139" i="127"/>
  <c r="B140" i="127"/>
  <c r="B141" i="127"/>
  <c r="B142" i="127"/>
  <c r="B143" i="127"/>
  <c r="B145" i="127"/>
  <c r="B146" i="127"/>
  <c r="B147" i="127"/>
  <c r="B148" i="127"/>
  <c r="B149" i="127"/>
  <c r="B150" i="127"/>
  <c r="B151" i="127"/>
  <c r="B152" i="127"/>
  <c r="B154" i="127"/>
  <c r="B155" i="127"/>
  <c r="B156" i="127"/>
  <c r="B158" i="127"/>
  <c r="B159" i="127"/>
  <c r="B160" i="127"/>
  <c r="B161" i="127"/>
  <c r="B162" i="127"/>
  <c r="B163" i="127"/>
  <c r="B164" i="127"/>
  <c r="B165" i="127"/>
  <c r="B166" i="127"/>
  <c r="B172" i="127"/>
  <c r="B173" i="127"/>
  <c r="B174" i="127"/>
  <c r="B178" i="127"/>
  <c r="B179" i="127"/>
  <c r="B185" i="127"/>
  <c r="B186" i="127"/>
  <c r="B187" i="127"/>
  <c r="B188" i="127"/>
  <c r="B189" i="127"/>
  <c r="B190" i="127"/>
  <c r="B191" i="127"/>
  <c r="B192" i="127"/>
  <c r="B193" i="127"/>
  <c r="B195" i="127"/>
  <c r="B196" i="127"/>
  <c r="B197" i="127"/>
  <c r="B198" i="127"/>
  <c r="B199" i="127"/>
  <c r="B200" i="127"/>
  <c r="B201" i="127"/>
  <c r="B202" i="127"/>
  <c r="B203" i="127"/>
  <c r="B205" i="127"/>
  <c r="B206" i="127"/>
  <c r="B207" i="127"/>
  <c r="B208" i="127"/>
  <c r="B210" i="127"/>
  <c r="B211" i="127"/>
  <c r="B212" i="127"/>
  <c r="B213" i="127"/>
  <c r="B214" i="127"/>
  <c r="B221" i="127"/>
  <c r="B222" i="127"/>
  <c r="B223" i="127"/>
  <c r="B224" i="127"/>
  <c r="B225" i="127"/>
  <c r="B227" i="127"/>
  <c r="B228" i="127"/>
  <c r="B229" i="127"/>
  <c r="B230" i="127"/>
  <c r="B232" i="127"/>
  <c r="B233" i="127"/>
  <c r="B234" i="127"/>
  <c r="B236" i="127"/>
  <c r="B237" i="127"/>
  <c r="B238" i="127"/>
  <c r="B239" i="127"/>
  <c r="B241" i="127"/>
  <c r="B242" i="127"/>
  <c r="B244" i="127"/>
  <c r="B245" i="127"/>
  <c r="B246" i="127"/>
  <c r="B251" i="127"/>
  <c r="B252" i="127"/>
  <c r="B253" i="127"/>
  <c r="B254" i="127"/>
  <c r="B259" i="127"/>
  <c r="B260" i="127"/>
  <c r="B261" i="127"/>
  <c r="B262" i="127"/>
  <c r="B267" i="127"/>
  <c r="B268" i="127"/>
  <c r="B269" i="127"/>
  <c r="C277" i="127"/>
  <c r="D277" i="127"/>
  <c r="E277" i="127"/>
  <c r="F277" i="127"/>
  <c r="S9" i="98"/>
  <c r="T9" i="98"/>
  <c r="S10" i="98"/>
  <c r="U9" i="98"/>
  <c r="T10" i="98" s="1"/>
  <c r="V9" i="98"/>
  <c r="V10" i="98"/>
  <c r="C24" i="98"/>
  <c r="E24" i="98"/>
  <c r="F24" i="98"/>
  <c r="G24" i="98"/>
  <c r="D1" i="97"/>
  <c r="D1" i="113" s="1"/>
  <c r="C122" i="97"/>
  <c r="C121" i="97" s="1"/>
  <c r="C119" i="97" s="1"/>
  <c r="C130" i="97"/>
  <c r="C141" i="97"/>
  <c r="C142" i="97"/>
  <c r="C147" i="97"/>
  <c r="C145" i="97"/>
  <c r="C152" i="97"/>
  <c r="E152" i="97"/>
  <c r="F152" i="97" s="1"/>
  <c r="D12" i="193"/>
  <c r="C27" i="193"/>
  <c r="Q147" i="99"/>
  <c r="H285" i="99"/>
  <c r="G9" i="99"/>
  <c r="E11" i="127"/>
  <c r="G11" i="127"/>
  <c r="D12" i="127"/>
  <c r="E12" i="127"/>
  <c r="F12" i="127"/>
  <c r="G12" i="127"/>
  <c r="E13" i="127"/>
  <c r="F13" i="127"/>
  <c r="G13" i="127"/>
  <c r="E14" i="127"/>
  <c r="F14" i="127"/>
  <c r="G14" i="127"/>
  <c r="E15" i="127"/>
  <c r="F15" i="127"/>
  <c r="G15" i="127"/>
  <c r="D18" i="127"/>
  <c r="E18" i="127"/>
  <c r="F18" i="127"/>
  <c r="G18" i="127"/>
  <c r="E19" i="127"/>
  <c r="F19" i="127"/>
  <c r="G19" i="127"/>
  <c r="E20" i="127"/>
  <c r="F20" i="127"/>
  <c r="G20" i="127"/>
  <c r="E21" i="127"/>
  <c r="F21" i="127"/>
  <c r="G21" i="127"/>
  <c r="C21" i="127"/>
  <c r="O21" i="127" s="1"/>
  <c r="P21" i="127" s="1"/>
  <c r="Q21" i="127" s="1"/>
  <c r="D22" i="127"/>
  <c r="C22" i="127" s="1"/>
  <c r="O22" i="127" s="1"/>
  <c r="P22" i="127" s="1"/>
  <c r="Q22" i="127" s="1"/>
  <c r="E22" i="127"/>
  <c r="F22" i="127"/>
  <c r="G22" i="127"/>
  <c r="E25" i="127"/>
  <c r="F25" i="127"/>
  <c r="G25" i="127"/>
  <c r="E26" i="127"/>
  <c r="F26" i="127"/>
  <c r="G26" i="127"/>
  <c r="D27" i="127"/>
  <c r="E27" i="127"/>
  <c r="F27" i="127"/>
  <c r="C27" i="127"/>
  <c r="O27" i="127" s="1"/>
  <c r="P27" i="127" s="1"/>
  <c r="Q27" i="127" s="1"/>
  <c r="G27" i="127"/>
  <c r="E28" i="127"/>
  <c r="F28" i="127"/>
  <c r="G28" i="127"/>
  <c r="E29" i="127"/>
  <c r="F29" i="127"/>
  <c r="G29" i="127"/>
  <c r="D32" i="127"/>
  <c r="E32" i="127"/>
  <c r="F32" i="127"/>
  <c r="F31" i="127" s="1"/>
  <c r="G32" i="127"/>
  <c r="G31" i="127"/>
  <c r="E33" i="127"/>
  <c r="F33" i="127"/>
  <c r="G33" i="127"/>
  <c r="E34" i="127"/>
  <c r="F34" i="127"/>
  <c r="G34" i="127"/>
  <c r="D35" i="127"/>
  <c r="E35" i="127"/>
  <c r="C35" i="127" s="1"/>
  <c r="F35" i="127"/>
  <c r="G35" i="127"/>
  <c r="E36" i="127"/>
  <c r="F36" i="127"/>
  <c r="C36" i="127" s="1"/>
  <c r="O36" i="127" s="1"/>
  <c r="G36" i="127"/>
  <c r="D39" i="127"/>
  <c r="D38" i="127" s="1"/>
  <c r="E39" i="127"/>
  <c r="F39" i="127"/>
  <c r="G39" i="127"/>
  <c r="E40" i="127"/>
  <c r="F40" i="127"/>
  <c r="C40" i="127" s="1"/>
  <c r="O40" i="127" s="1"/>
  <c r="P40" i="127" s="1"/>
  <c r="Q40" i="127" s="1"/>
  <c r="G40" i="127"/>
  <c r="E41" i="127"/>
  <c r="F41" i="127"/>
  <c r="G41" i="127"/>
  <c r="E42" i="127"/>
  <c r="F42" i="127"/>
  <c r="G42" i="127"/>
  <c r="E43" i="127"/>
  <c r="F43" i="127"/>
  <c r="C43" i="127" s="1"/>
  <c r="G43" i="127"/>
  <c r="E46" i="127"/>
  <c r="F46" i="127"/>
  <c r="G46" i="127"/>
  <c r="G45" i="127" s="1"/>
  <c r="E47" i="127"/>
  <c r="F47" i="127"/>
  <c r="G47" i="127"/>
  <c r="C47" i="127" s="1"/>
  <c r="O47" i="127" s="1"/>
  <c r="P47" i="127" s="1"/>
  <c r="Q47" i="127" s="1"/>
  <c r="F53" i="127"/>
  <c r="G53" i="127"/>
  <c r="G52" i="127" s="1"/>
  <c r="E54" i="127"/>
  <c r="F54" i="127"/>
  <c r="G54" i="127"/>
  <c r="D55" i="127"/>
  <c r="E55" i="127"/>
  <c r="C55" i="127" s="1"/>
  <c r="O55" i="127" s="1"/>
  <c r="P55" i="127" s="1"/>
  <c r="Q55" i="127" s="1"/>
  <c r="F55" i="127"/>
  <c r="G55" i="127"/>
  <c r="E56" i="127"/>
  <c r="F56" i="127"/>
  <c r="G56" i="127"/>
  <c r="D57" i="127"/>
  <c r="E57" i="127"/>
  <c r="F57" i="127"/>
  <c r="C57" i="127" s="1"/>
  <c r="G57" i="127"/>
  <c r="E60" i="127"/>
  <c r="F60" i="127"/>
  <c r="G60" i="127"/>
  <c r="D61" i="127"/>
  <c r="E61" i="127"/>
  <c r="F61" i="127"/>
  <c r="G61" i="127"/>
  <c r="C61" i="127" s="1"/>
  <c r="O61" i="127" s="1"/>
  <c r="P61" i="127" s="1"/>
  <c r="Q61" i="127" s="1"/>
  <c r="D62" i="127"/>
  <c r="E62" i="127"/>
  <c r="F62" i="127"/>
  <c r="G62" i="127"/>
  <c r="E63" i="127"/>
  <c r="G63" i="127"/>
  <c r="E64" i="127"/>
  <c r="F64" i="127"/>
  <c r="G64" i="127"/>
  <c r="E67" i="127"/>
  <c r="F67" i="127"/>
  <c r="F66" i="127" s="1"/>
  <c r="G67" i="127"/>
  <c r="D68" i="127"/>
  <c r="E68" i="127"/>
  <c r="F68" i="127"/>
  <c r="G68" i="127"/>
  <c r="D69" i="127"/>
  <c r="E69" i="127"/>
  <c r="F69" i="127"/>
  <c r="G69" i="127"/>
  <c r="D70" i="127"/>
  <c r="E70" i="127"/>
  <c r="F70" i="127"/>
  <c r="G70" i="127"/>
  <c r="E71" i="127"/>
  <c r="F71" i="127"/>
  <c r="G71" i="127"/>
  <c r="E72" i="127"/>
  <c r="F72" i="127"/>
  <c r="G72" i="127"/>
  <c r="E73" i="127"/>
  <c r="F73" i="127"/>
  <c r="G73" i="127"/>
  <c r="D76" i="127"/>
  <c r="E76" i="127"/>
  <c r="F76" i="127"/>
  <c r="C76" i="127" s="1"/>
  <c r="G76" i="127"/>
  <c r="G75" i="127" s="1"/>
  <c r="E77" i="127"/>
  <c r="F77" i="127"/>
  <c r="C77" i="127" s="1"/>
  <c r="O77" i="127" s="1"/>
  <c r="P77" i="127" s="1"/>
  <c r="Q77" i="127" s="1"/>
  <c r="G77" i="127"/>
  <c r="D78" i="127"/>
  <c r="E78" i="127"/>
  <c r="F78" i="127"/>
  <c r="G78" i="127"/>
  <c r="D79" i="127"/>
  <c r="E79" i="127"/>
  <c r="F79" i="127"/>
  <c r="G79" i="127"/>
  <c r="D80" i="127"/>
  <c r="E80" i="127"/>
  <c r="F80" i="127"/>
  <c r="G80" i="127"/>
  <c r="C80" i="127"/>
  <c r="O80" i="127" s="1"/>
  <c r="P80" i="127" s="1"/>
  <c r="Q80" i="127" s="1"/>
  <c r="D81" i="127"/>
  <c r="F81" i="127"/>
  <c r="G81" i="127"/>
  <c r="F82" i="127"/>
  <c r="C82" i="127" s="1"/>
  <c r="O82" i="127" s="1"/>
  <c r="G82" i="127"/>
  <c r="E85" i="127"/>
  <c r="F85" i="127"/>
  <c r="G85" i="127"/>
  <c r="E86" i="127"/>
  <c r="F86" i="127"/>
  <c r="G86" i="127"/>
  <c r="E87" i="127"/>
  <c r="C87" i="127" s="1"/>
  <c r="O87" i="127" s="1"/>
  <c r="P87" i="127" s="1"/>
  <c r="Q87" i="127" s="1"/>
  <c r="F87" i="127"/>
  <c r="F84" i="127" s="1"/>
  <c r="G87" i="127"/>
  <c r="E88" i="127"/>
  <c r="C88" i="127"/>
  <c r="O88" i="127" s="1"/>
  <c r="F88" i="127"/>
  <c r="G88" i="127"/>
  <c r="G91" i="127"/>
  <c r="D92" i="127"/>
  <c r="E92" i="127"/>
  <c r="F92" i="127"/>
  <c r="G92" i="127"/>
  <c r="E93" i="127"/>
  <c r="F93" i="127"/>
  <c r="G93" i="127"/>
  <c r="G90" i="127"/>
  <c r="F96" i="127"/>
  <c r="F95" i="127" s="1"/>
  <c r="G96" i="127"/>
  <c r="D97" i="127"/>
  <c r="C97" i="127" s="1"/>
  <c r="O97" i="127" s="1"/>
  <c r="F97" i="127"/>
  <c r="G97" i="127"/>
  <c r="D98" i="127"/>
  <c r="E98" i="127"/>
  <c r="F98" i="127"/>
  <c r="G98" i="127"/>
  <c r="D101" i="127"/>
  <c r="E101" i="127"/>
  <c r="F101" i="127"/>
  <c r="G101" i="127"/>
  <c r="E102" i="127"/>
  <c r="F102" i="127"/>
  <c r="G102" i="127"/>
  <c r="E103" i="127"/>
  <c r="F103" i="127"/>
  <c r="G103" i="127"/>
  <c r="E104" i="127"/>
  <c r="E100" i="127" s="1"/>
  <c r="F104" i="127"/>
  <c r="G104" i="127"/>
  <c r="D105" i="127"/>
  <c r="E105" i="127"/>
  <c r="F105" i="127"/>
  <c r="G105" i="127"/>
  <c r="D106" i="127"/>
  <c r="E106" i="127"/>
  <c r="F106" i="127"/>
  <c r="G106" i="127"/>
  <c r="E107" i="127"/>
  <c r="G107" i="127"/>
  <c r="D108" i="127"/>
  <c r="E108" i="127"/>
  <c r="F108" i="127"/>
  <c r="G108" i="127"/>
  <c r="D109" i="127"/>
  <c r="C109" i="127" s="1"/>
  <c r="O109" i="127" s="1"/>
  <c r="E109" i="127"/>
  <c r="F109" i="127"/>
  <c r="G109" i="127"/>
  <c r="E113" i="127"/>
  <c r="F113" i="127"/>
  <c r="G113" i="127"/>
  <c r="E114" i="127"/>
  <c r="F114" i="127"/>
  <c r="G114" i="127"/>
  <c r="E115" i="127"/>
  <c r="F115" i="127"/>
  <c r="F112" i="127" s="1"/>
  <c r="G115" i="127"/>
  <c r="G116" i="127"/>
  <c r="E119" i="127"/>
  <c r="F119" i="127"/>
  <c r="F118" i="127" s="1"/>
  <c r="G119" i="127"/>
  <c r="E120" i="127"/>
  <c r="F120" i="127"/>
  <c r="G120" i="127"/>
  <c r="D121" i="127"/>
  <c r="E121" i="127"/>
  <c r="F121" i="127"/>
  <c r="G121" i="127"/>
  <c r="D122" i="127"/>
  <c r="E122" i="127"/>
  <c r="F122" i="127"/>
  <c r="G122" i="127"/>
  <c r="G118" i="127" s="1"/>
  <c r="D123" i="127"/>
  <c r="E123" i="127"/>
  <c r="F123" i="127"/>
  <c r="G123" i="127"/>
  <c r="E124" i="127"/>
  <c r="F124" i="127"/>
  <c r="G124" i="127"/>
  <c r="F133" i="127"/>
  <c r="G133" i="127"/>
  <c r="E134" i="127"/>
  <c r="F134" i="127"/>
  <c r="F132" i="127" s="1"/>
  <c r="G134" i="127"/>
  <c r="E135" i="127"/>
  <c r="F135" i="127"/>
  <c r="G135" i="127"/>
  <c r="D136" i="127"/>
  <c r="F136" i="127"/>
  <c r="G136" i="127"/>
  <c r="D137" i="127"/>
  <c r="C137" i="127" s="1"/>
  <c r="O137" i="127" s="1"/>
  <c r="E137" i="127"/>
  <c r="F137" i="127"/>
  <c r="G137" i="127"/>
  <c r="E140" i="127"/>
  <c r="E139" i="127" s="1"/>
  <c r="F140" i="127"/>
  <c r="G140" i="127"/>
  <c r="D141" i="127"/>
  <c r="E141" i="127"/>
  <c r="F141" i="127"/>
  <c r="G141" i="127"/>
  <c r="D142" i="127"/>
  <c r="E142" i="127"/>
  <c r="F142" i="127"/>
  <c r="C142" i="127" s="1"/>
  <c r="O142" i="127" s="1"/>
  <c r="P142" i="127" s="1"/>
  <c r="Q142" i="127" s="1"/>
  <c r="F139" i="127"/>
  <c r="G142" i="127"/>
  <c r="G139" i="127" s="1"/>
  <c r="E143" i="127"/>
  <c r="C143" i="127" s="1"/>
  <c r="F143" i="127"/>
  <c r="G143" i="127"/>
  <c r="E146" i="127"/>
  <c r="F146" i="127"/>
  <c r="G146" i="127"/>
  <c r="D147" i="127"/>
  <c r="C147" i="127" s="1"/>
  <c r="E147" i="127"/>
  <c r="F147" i="127"/>
  <c r="G147" i="127"/>
  <c r="D148" i="127"/>
  <c r="E148" i="127"/>
  <c r="F148" i="127"/>
  <c r="G148" i="127"/>
  <c r="D149" i="127"/>
  <c r="E149" i="127"/>
  <c r="F149" i="127"/>
  <c r="G149" i="127"/>
  <c r="D150" i="127"/>
  <c r="E150" i="127"/>
  <c r="F150" i="127"/>
  <c r="G150" i="127"/>
  <c r="E151" i="127"/>
  <c r="F151" i="127"/>
  <c r="G151" i="127"/>
  <c r="E152" i="127"/>
  <c r="F152" i="127"/>
  <c r="G152" i="127"/>
  <c r="E155" i="127"/>
  <c r="F155" i="127"/>
  <c r="F154" i="127" s="1"/>
  <c r="G155" i="127"/>
  <c r="G154" i="127" s="1"/>
  <c r="E156" i="127"/>
  <c r="F156" i="127"/>
  <c r="G156" i="127"/>
  <c r="E159" i="127"/>
  <c r="F159" i="127"/>
  <c r="G159" i="127"/>
  <c r="D160" i="127"/>
  <c r="E160" i="127"/>
  <c r="F160" i="127"/>
  <c r="G160" i="127"/>
  <c r="F161" i="127"/>
  <c r="G161" i="127"/>
  <c r="F162" i="127"/>
  <c r="C162" i="127"/>
  <c r="O162" i="127"/>
  <c r="P162" i="127" s="1"/>
  <c r="Q162" i="127" s="1"/>
  <c r="G162" i="127"/>
  <c r="E163" i="127"/>
  <c r="F163" i="127"/>
  <c r="G163" i="127"/>
  <c r="G164" i="127"/>
  <c r="D165" i="127"/>
  <c r="E165" i="127"/>
  <c r="F165" i="127"/>
  <c r="G165" i="127"/>
  <c r="D166" i="127"/>
  <c r="E166" i="127"/>
  <c r="F166" i="127"/>
  <c r="G166" i="127"/>
  <c r="F174" i="127"/>
  <c r="F172" i="127" s="1"/>
  <c r="F170" i="127" s="1"/>
  <c r="D179" i="127"/>
  <c r="E179" i="127"/>
  <c r="E178" i="127"/>
  <c r="F179" i="127"/>
  <c r="F178" i="127" s="1"/>
  <c r="G179" i="127"/>
  <c r="G178" i="127"/>
  <c r="E186" i="127"/>
  <c r="F186" i="127"/>
  <c r="G186" i="127"/>
  <c r="D187" i="127"/>
  <c r="E187" i="127"/>
  <c r="F187" i="127"/>
  <c r="G187" i="127"/>
  <c r="E188" i="127"/>
  <c r="E185" i="127"/>
  <c r="F188" i="127"/>
  <c r="G188" i="127"/>
  <c r="E189" i="127"/>
  <c r="F189" i="127"/>
  <c r="G189" i="127"/>
  <c r="D190" i="127"/>
  <c r="E190" i="127"/>
  <c r="F190" i="127"/>
  <c r="G190" i="127"/>
  <c r="E191" i="127"/>
  <c r="F191" i="127"/>
  <c r="G191" i="127"/>
  <c r="E192" i="127"/>
  <c r="F192" i="127"/>
  <c r="G192" i="127"/>
  <c r="E193" i="127"/>
  <c r="F193" i="127"/>
  <c r="G193" i="127"/>
  <c r="E31" i="21"/>
  <c r="E18" i="21" s="1"/>
  <c r="E196" i="127"/>
  <c r="F196" i="127"/>
  <c r="G196" i="127"/>
  <c r="E197" i="127"/>
  <c r="F197" i="127"/>
  <c r="G197" i="127"/>
  <c r="E198" i="127"/>
  <c r="F198" i="127"/>
  <c r="G198" i="127"/>
  <c r="C198" i="127" s="1"/>
  <c r="O198" i="127" s="1"/>
  <c r="P198" i="127" s="1"/>
  <c r="Q198" i="127" s="1"/>
  <c r="D199" i="127"/>
  <c r="E199" i="127"/>
  <c r="F199" i="127"/>
  <c r="O199" i="127"/>
  <c r="P199" i="127" s="1"/>
  <c r="Q199" i="127" s="1"/>
  <c r="G199" i="127"/>
  <c r="C199" i="127" s="1"/>
  <c r="D200" i="127"/>
  <c r="C200" i="127" s="1"/>
  <c r="O200" i="127" s="1"/>
  <c r="P200" i="127" s="1"/>
  <c r="E200" i="127"/>
  <c r="F200" i="127"/>
  <c r="G200" i="127"/>
  <c r="E201" i="127"/>
  <c r="F201" i="127"/>
  <c r="G201" i="127"/>
  <c r="E202" i="127"/>
  <c r="C202" i="127" s="1"/>
  <c r="O202" i="127" s="1"/>
  <c r="F202" i="127"/>
  <c r="G202" i="127"/>
  <c r="E203" i="127"/>
  <c r="C203" i="127" s="1"/>
  <c r="O203" i="127" s="1"/>
  <c r="P203" i="127" s="1"/>
  <c r="Q203" i="127" s="1"/>
  <c r="F203" i="127"/>
  <c r="G203" i="127"/>
  <c r="F31" i="21"/>
  <c r="E206" i="127"/>
  <c r="F206" i="127"/>
  <c r="G206" i="127"/>
  <c r="E207" i="127"/>
  <c r="F207" i="127"/>
  <c r="G207" i="127"/>
  <c r="E208" i="127"/>
  <c r="F208" i="127"/>
  <c r="F205" i="127" s="1"/>
  <c r="G208" i="127"/>
  <c r="G205" i="127" s="1"/>
  <c r="E211" i="127"/>
  <c r="F211" i="127"/>
  <c r="F210" i="127" s="1"/>
  <c r="G211" i="127"/>
  <c r="E212" i="127"/>
  <c r="F212" i="127"/>
  <c r="G212" i="127"/>
  <c r="E213" i="127"/>
  <c r="F213" i="127"/>
  <c r="G213" i="127"/>
  <c r="E214" i="127"/>
  <c r="F214" i="127"/>
  <c r="G214" i="127"/>
  <c r="E223" i="127"/>
  <c r="G223" i="127"/>
  <c r="E224" i="127"/>
  <c r="F224" i="127"/>
  <c r="G224" i="127"/>
  <c r="E225" i="127"/>
  <c r="F225" i="127"/>
  <c r="G225" i="127"/>
  <c r="D225" i="127"/>
  <c r="C225" i="127" s="1"/>
  <c r="O225" i="127" s="1"/>
  <c r="E228" i="127"/>
  <c r="F228" i="127"/>
  <c r="G228" i="127"/>
  <c r="E229" i="127"/>
  <c r="F229" i="127"/>
  <c r="G229" i="127"/>
  <c r="E230" i="127"/>
  <c r="F230" i="127"/>
  <c r="G230" i="127"/>
  <c r="E233" i="127"/>
  <c r="F233" i="127"/>
  <c r="G233" i="127"/>
  <c r="E234" i="127"/>
  <c r="E232" i="127" s="1"/>
  <c r="F234" i="127"/>
  <c r="G234" i="127"/>
  <c r="G232" i="127" s="1"/>
  <c r="E237" i="127"/>
  <c r="F238" i="127"/>
  <c r="F239" i="127"/>
  <c r="D245" i="127"/>
  <c r="E245" i="127"/>
  <c r="E244" i="127"/>
  <c r="F245" i="127"/>
  <c r="F244" i="127" s="1"/>
  <c r="G245" i="127"/>
  <c r="E246" i="127"/>
  <c r="F246" i="127"/>
  <c r="C246" i="127" s="1"/>
  <c r="G246" i="127"/>
  <c r="G244" i="127"/>
  <c r="E253" i="127"/>
  <c r="E254" i="127"/>
  <c r="G254" i="127"/>
  <c r="G251" i="127" s="1"/>
  <c r="J32" i="21"/>
  <c r="J17" i="21" s="1"/>
  <c r="G261" i="127"/>
  <c r="D262" i="127"/>
  <c r="E262" i="127"/>
  <c r="F262" i="127"/>
  <c r="C262" i="127"/>
  <c r="O262" i="127" s="1"/>
  <c r="P262" i="127" s="1"/>
  <c r="Q262" i="127" s="1"/>
  <c r="G262" i="127"/>
  <c r="D268" i="127"/>
  <c r="E268" i="127"/>
  <c r="F268" i="127"/>
  <c r="F267" i="127" s="1"/>
  <c r="F265" i="127" s="1"/>
  <c r="G268" i="127"/>
  <c r="G267" i="127" s="1"/>
  <c r="G265" i="127" s="1"/>
  <c r="D233" i="127"/>
  <c r="B13" i="124"/>
  <c r="C13" i="124"/>
  <c r="C22" i="124"/>
  <c r="C23" i="124"/>
  <c r="D25" i="127"/>
  <c r="I32" i="21"/>
  <c r="I17" i="21"/>
  <c r="F32" i="21"/>
  <c r="F17" i="21"/>
  <c r="F261" i="127"/>
  <c r="F253" i="127"/>
  <c r="E238" i="127"/>
  <c r="E242" i="127"/>
  <c r="G260" i="127"/>
  <c r="F242" i="127"/>
  <c r="F241" i="127"/>
  <c r="D237" i="127"/>
  <c r="D236" i="127" s="1"/>
  <c r="E10" i="102"/>
  <c r="E9" i="102"/>
  <c r="E8" i="102" s="1"/>
  <c r="G222" i="127"/>
  <c r="E222" i="127"/>
  <c r="F222" i="127"/>
  <c r="F221" i="127"/>
  <c r="D206" i="127"/>
  <c r="G237" i="127"/>
  <c r="G31" i="21"/>
  <c r="G30" i="21" s="1"/>
  <c r="G18" i="21"/>
  <c r="D31" i="21"/>
  <c r="D189" i="127"/>
  <c r="C189" i="127" s="1"/>
  <c r="O189" i="127" s="1"/>
  <c r="P189" i="127" s="1"/>
  <c r="Q189" i="127" s="1"/>
  <c r="E174" i="127"/>
  <c r="D174" i="127"/>
  <c r="D172" i="127" s="1"/>
  <c r="F173" i="127"/>
  <c r="E162" i="127"/>
  <c r="G16" i="98"/>
  <c r="D159" i="127"/>
  <c r="G173" i="127"/>
  <c r="G172" i="127" s="1"/>
  <c r="G170" i="127" s="1"/>
  <c r="G174" i="127"/>
  <c r="E116" i="127"/>
  <c r="D96" i="127"/>
  <c r="C96" i="127" s="1"/>
  <c r="D119" i="127"/>
  <c r="C119" i="127" s="1"/>
  <c r="D113" i="127"/>
  <c r="C113" i="127"/>
  <c r="O113" i="127"/>
  <c r="P113" i="127" s="1"/>
  <c r="Q113" i="127" s="1"/>
  <c r="E96" i="127"/>
  <c r="D53" i="127"/>
  <c r="E82" i="127"/>
  <c r="E53" i="127"/>
  <c r="E12" i="109"/>
  <c r="D46" i="127"/>
  <c r="D45" i="127" s="1"/>
  <c r="D40" i="127"/>
  <c r="E13" i="124"/>
  <c r="G13" i="124" s="1"/>
  <c r="F12" i="98"/>
  <c r="D196" i="127"/>
  <c r="D211" i="127"/>
  <c r="D26" i="127"/>
  <c r="D146" i="127"/>
  <c r="D82" i="127"/>
  <c r="P82" i="127"/>
  <c r="Q82" i="127" s="1"/>
  <c r="H18" i="98"/>
  <c r="E105" i="113"/>
  <c r="D254" i="127"/>
  <c r="C254" i="127" s="1"/>
  <c r="O254" i="127" s="1"/>
  <c r="P254" i="127" s="1"/>
  <c r="Q254" i="127" s="1"/>
  <c r="E97" i="127"/>
  <c r="E95" i="127" s="1"/>
  <c r="D161" i="127"/>
  <c r="C161" i="127" s="1"/>
  <c r="D229" i="127"/>
  <c r="D238" i="127"/>
  <c r="C238" i="127" s="1"/>
  <c r="O238" i="127" s="1"/>
  <c r="E260" i="127"/>
  <c r="E252" i="127"/>
  <c r="G239" i="127"/>
  <c r="G238" i="127"/>
  <c r="D230" i="127"/>
  <c r="D227" i="127" s="1"/>
  <c r="D228" i="127"/>
  <c r="D213" i="127"/>
  <c r="C213" i="127"/>
  <c r="O213" i="127"/>
  <c r="P213" i="127" s="1"/>
  <c r="Q213" i="127" s="1"/>
  <c r="D212" i="127"/>
  <c r="D203" i="127"/>
  <c r="D202" i="127"/>
  <c r="P202" i="127"/>
  <c r="Q202" i="127" s="1"/>
  <c r="D197" i="127"/>
  <c r="D193" i="127"/>
  <c r="D162" i="127"/>
  <c r="D151" i="127"/>
  <c r="C151" i="127" s="1"/>
  <c r="D64" i="127"/>
  <c r="D15" i="127"/>
  <c r="E261" i="127"/>
  <c r="F260" i="127"/>
  <c r="F259" i="127"/>
  <c r="F257" i="127"/>
  <c r="F254" i="127"/>
  <c r="G253" i="127"/>
  <c r="G249" i="127"/>
  <c r="F252" i="127"/>
  <c r="E81" i="127"/>
  <c r="E136" i="127"/>
  <c r="C136" i="127"/>
  <c r="O136" i="127" s="1"/>
  <c r="D86" i="127"/>
  <c r="D84" i="127" s="1"/>
  <c r="D134" i="127"/>
  <c r="C134" i="127"/>
  <c r="O134" i="127" s="1"/>
  <c r="P134" i="127" s="1"/>
  <c r="Q134" i="127" s="1"/>
  <c r="D85" i="127"/>
  <c r="D207" i="127"/>
  <c r="D133" i="127"/>
  <c r="D186" i="127"/>
  <c r="F237" i="127"/>
  <c r="F236" i="127" s="1"/>
  <c r="D246" i="127"/>
  <c r="D214" i="127"/>
  <c r="C214" i="127" s="1"/>
  <c r="O214" i="127" s="1"/>
  <c r="P214" i="127" s="1"/>
  <c r="Q214" i="127" s="1"/>
  <c r="D208" i="127"/>
  <c r="C208" i="127" s="1"/>
  <c r="O208" i="127" s="1"/>
  <c r="P208" i="127" s="1"/>
  <c r="D201" i="127"/>
  <c r="C201" i="127" s="1"/>
  <c r="O201" i="127" s="1"/>
  <c r="P201" i="127" s="1"/>
  <c r="Q201" i="127" s="1"/>
  <c r="D192" i="127"/>
  <c r="D191" i="127"/>
  <c r="H15" i="98"/>
  <c r="D164" i="127"/>
  <c r="C164" i="127" s="1"/>
  <c r="O164" i="127" s="1"/>
  <c r="P164" i="127" s="1"/>
  <c r="Q164" i="127" s="1"/>
  <c r="D63" i="127"/>
  <c r="D34" i="127"/>
  <c r="D31" i="127" s="1"/>
  <c r="D33" i="127"/>
  <c r="C33" i="127" s="1"/>
  <c r="O33" i="127" s="1"/>
  <c r="P33" i="127" s="1"/>
  <c r="Q33" i="127"/>
  <c r="D21" i="127"/>
  <c r="D14" i="127"/>
  <c r="C14" i="127"/>
  <c r="O14" i="127" s="1"/>
  <c r="P14" i="127" s="1"/>
  <c r="Q14" i="127" s="1"/>
  <c r="G269" i="127"/>
  <c r="H32" i="21"/>
  <c r="E32" i="21"/>
  <c r="E17" i="21"/>
  <c r="E16" i="21" s="1"/>
  <c r="G252" i="127"/>
  <c r="G17" i="98"/>
  <c r="D198" i="127"/>
  <c r="D188" i="127"/>
  <c r="C188" i="127"/>
  <c r="O188" i="127"/>
  <c r="P188" i="127" s="1"/>
  <c r="Q188" i="127" s="1"/>
  <c r="D152" i="127"/>
  <c r="C152" i="127" s="1"/>
  <c r="O152" i="127" s="1"/>
  <c r="P152" i="127" s="1"/>
  <c r="Q152" i="127" s="1"/>
  <c r="D143" i="127"/>
  <c r="O143" i="127"/>
  <c r="P143" i="127" s="1"/>
  <c r="Q143" i="127" s="1"/>
  <c r="D140" i="127"/>
  <c r="C140" i="127" s="1"/>
  <c r="E133" i="127"/>
  <c r="D124" i="127"/>
  <c r="C124" i="127"/>
  <c r="O124" i="127" s="1"/>
  <c r="P124" i="127" s="1"/>
  <c r="Q124" i="127" s="1"/>
  <c r="D103" i="127"/>
  <c r="C103" i="127"/>
  <c r="O103" i="127" s="1"/>
  <c r="P103" i="127" s="1"/>
  <c r="Q103" i="127" s="1"/>
  <c r="D102" i="127"/>
  <c r="C102" i="127" s="1"/>
  <c r="D100" i="127"/>
  <c r="D88" i="127"/>
  <c r="P88" i="127"/>
  <c r="Q88" i="127" s="1"/>
  <c r="D77" i="127"/>
  <c r="D73" i="127"/>
  <c r="C73" i="127"/>
  <c r="O73" i="127" s="1"/>
  <c r="P73" i="127" s="1"/>
  <c r="Q73" i="127" s="1"/>
  <c r="D71" i="127"/>
  <c r="C71" i="127"/>
  <c r="O71" i="127" s="1"/>
  <c r="P71" i="127" s="1"/>
  <c r="Q71" i="127"/>
  <c r="D56" i="127"/>
  <c r="D54" i="127"/>
  <c r="C54" i="127"/>
  <c r="O54" i="127" s="1"/>
  <c r="P54" i="127" s="1"/>
  <c r="Q54" i="127" s="1"/>
  <c r="D47" i="127"/>
  <c r="D42" i="127"/>
  <c r="C42" i="127" s="1"/>
  <c r="O42" i="127" s="1"/>
  <c r="P42" i="127" s="1"/>
  <c r="Q42" i="127" s="1"/>
  <c r="D29" i="127"/>
  <c r="C29" i="127" s="1"/>
  <c r="O29" i="127" s="1"/>
  <c r="P29" i="127"/>
  <c r="Q29" i="127"/>
  <c r="D20" i="127"/>
  <c r="D19" i="127"/>
  <c r="C19" i="127" s="1"/>
  <c r="O19" i="127" s="1"/>
  <c r="P19" i="127" s="1"/>
  <c r="Q19" i="127" s="1"/>
  <c r="D13" i="127"/>
  <c r="C13" i="127" s="1"/>
  <c r="O13" i="127" s="1"/>
  <c r="P13" i="127"/>
  <c r="Q13" i="127" s="1"/>
  <c r="F11" i="127"/>
  <c r="F10" i="127" s="1"/>
  <c r="F223" i="127"/>
  <c r="H16" i="98"/>
  <c r="F16" i="98"/>
  <c r="I31" i="21"/>
  <c r="J31" i="21"/>
  <c r="J30" i="21" s="1"/>
  <c r="J18" i="21"/>
  <c r="J16" i="21"/>
  <c r="F164" i="127"/>
  <c r="E112" i="127"/>
  <c r="C98" i="127"/>
  <c r="O98" i="127" s="1"/>
  <c r="P98" i="127"/>
  <c r="Q98" i="127" s="1"/>
  <c r="F91" i="127"/>
  <c r="F90" i="127"/>
  <c r="C233" i="127"/>
  <c r="E161" i="127"/>
  <c r="D120" i="127"/>
  <c r="C120" i="127" s="1"/>
  <c r="O120" i="127" s="1"/>
  <c r="P120" i="127" s="1"/>
  <c r="Q120" i="127" s="1"/>
  <c r="F116" i="127"/>
  <c r="D115" i="127"/>
  <c r="D114" i="127"/>
  <c r="C114" i="127"/>
  <c r="O114" i="127" s="1"/>
  <c r="P114" i="127" s="1"/>
  <c r="Q114" i="127"/>
  <c r="F107" i="127"/>
  <c r="C107" i="127" s="1"/>
  <c r="D104" i="127"/>
  <c r="D93" i="127"/>
  <c r="E91" i="127"/>
  <c r="E90" i="127"/>
  <c r="D87" i="127"/>
  <c r="D72" i="127"/>
  <c r="C72" i="127" s="1"/>
  <c r="O72" i="127" s="1"/>
  <c r="P72" i="127" s="1"/>
  <c r="Q72" i="127" s="1"/>
  <c r="F63" i="127"/>
  <c r="G236" i="127"/>
  <c r="G242" i="127"/>
  <c r="G241" i="127" s="1"/>
  <c r="K31" i="21"/>
  <c r="H31" i="21"/>
  <c r="C31" i="21"/>
  <c r="C18" i="21"/>
  <c r="E173" i="127"/>
  <c r="E172" i="127" s="1"/>
  <c r="E170" i="127" s="1"/>
  <c r="E164" i="127"/>
  <c r="G14" i="98"/>
  <c r="H14" i="98"/>
  <c r="H13" i="98"/>
  <c r="C13" i="98" s="1"/>
  <c r="C70" i="127"/>
  <c r="E45" i="127"/>
  <c r="H12" i="98"/>
  <c r="F145" i="127"/>
  <c r="Q208" i="127"/>
  <c r="E154" i="127"/>
  <c r="F45" i="127"/>
  <c r="C206" i="127"/>
  <c r="O206" i="127" s="1"/>
  <c r="P206" i="127"/>
  <c r="Q206" i="127" s="1"/>
  <c r="P225" i="127"/>
  <c r="Q225" i="127" s="1"/>
  <c r="C68" i="113"/>
  <c r="C84" i="113"/>
  <c r="J24" i="99"/>
  <c r="K24" i="99" s="1"/>
  <c r="C62" i="113"/>
  <c r="C82" i="113"/>
  <c r="J265" i="99"/>
  <c r="K265" i="99" s="1"/>
  <c r="C59" i="113"/>
  <c r="F29" i="21"/>
  <c r="J19" i="99"/>
  <c r="K19" i="99"/>
  <c r="C26" i="113"/>
  <c r="C74" i="113"/>
  <c r="E117" i="113"/>
  <c r="F117" i="113"/>
  <c r="C67" i="113"/>
  <c r="C66" i="113" s="1"/>
  <c r="F66" i="113" s="1"/>
  <c r="E66" i="113"/>
  <c r="J81" i="99"/>
  <c r="K81" i="99"/>
  <c r="C61" i="113"/>
  <c r="J261" i="99"/>
  <c r="K261" i="99" s="1"/>
  <c r="C60" i="113"/>
  <c r="C80" i="113"/>
  <c r="C78" i="113" s="1"/>
  <c r="J20" i="99"/>
  <c r="K20" i="99" s="1"/>
  <c r="J22" i="99"/>
  <c r="K22" i="99"/>
  <c r="J28" i="99"/>
  <c r="K28" i="99" s="1"/>
  <c r="E88" i="113"/>
  <c r="C88" i="113"/>
  <c r="F88" i="113" s="1"/>
  <c r="C58" i="113"/>
  <c r="J264" i="99"/>
  <c r="K264" i="99"/>
  <c r="E111" i="113"/>
  <c r="F111" i="113" s="1"/>
  <c r="C83" i="113"/>
  <c r="J65" i="99"/>
  <c r="K65" i="99" s="1"/>
  <c r="J263" i="99"/>
  <c r="K263" i="99"/>
  <c r="C57" i="113"/>
  <c r="E72" i="113"/>
  <c r="F72" i="113" s="1"/>
  <c r="C73" i="113"/>
  <c r="C85" i="113"/>
  <c r="D36" i="127"/>
  <c r="P36" i="127"/>
  <c r="Q36" i="127" s="1"/>
  <c r="D13" i="124"/>
  <c r="D41" i="127"/>
  <c r="C41" i="127" s="1"/>
  <c r="O41" i="127" s="1"/>
  <c r="P41" i="127" s="1"/>
  <c r="Q41" i="127" s="1"/>
  <c r="F13" i="124"/>
  <c r="D135" i="127"/>
  <c r="D156" i="127"/>
  <c r="K18" i="21"/>
  <c r="E239" i="127"/>
  <c r="E236" i="127"/>
  <c r="F17" i="98"/>
  <c r="G13" i="98"/>
  <c r="D11" i="127"/>
  <c r="D67" i="127"/>
  <c r="E11" i="109"/>
  <c r="E13" i="109"/>
  <c r="B13" i="109"/>
  <c r="D107" i="127"/>
  <c r="E99" i="113"/>
  <c r="F99" i="113"/>
  <c r="D224" i="127"/>
  <c r="D221" i="127" s="1"/>
  <c r="D219" i="127" s="1"/>
  <c r="D234" i="127"/>
  <c r="D232" i="127" s="1"/>
  <c r="G12" i="98"/>
  <c r="D32" i="21"/>
  <c r="G32" i="21"/>
  <c r="J21" i="99"/>
  <c r="K21" i="99"/>
  <c r="F18" i="98"/>
  <c r="J27" i="99"/>
  <c r="K27" i="99" s="1"/>
  <c r="G18" i="98"/>
  <c r="G9" i="98" s="1"/>
  <c r="D253" i="127"/>
  <c r="C253" i="127"/>
  <c r="D261" i="127"/>
  <c r="D118" i="127"/>
  <c r="H17" i="98"/>
  <c r="E259" i="127"/>
  <c r="E257" i="127"/>
  <c r="J33" i="21"/>
  <c r="F269" i="127"/>
  <c r="G19" i="98"/>
  <c r="D28" i="127"/>
  <c r="C28" i="127" s="1"/>
  <c r="O28" i="127" s="1"/>
  <c r="P28" i="127" s="1"/>
  <c r="Q28" i="127" s="1"/>
  <c r="D43" i="127"/>
  <c r="G15" i="98"/>
  <c r="H18" i="21"/>
  <c r="H16" i="21" s="1"/>
  <c r="D116" i="127"/>
  <c r="F15" i="98"/>
  <c r="D223" i="127"/>
  <c r="D252" i="127"/>
  <c r="J64" i="99"/>
  <c r="K64" i="99" s="1"/>
  <c r="K32" i="21"/>
  <c r="K17" i="21" s="1"/>
  <c r="K16" i="21" s="1"/>
  <c r="H19" i="98"/>
  <c r="H20" i="98"/>
  <c r="C81" i="113"/>
  <c r="F19" i="98"/>
  <c r="F13" i="98"/>
  <c r="E30" i="21"/>
  <c r="E33" i="21" s="1"/>
  <c r="P238" i="127"/>
  <c r="Q238" i="127" s="1"/>
  <c r="D269" i="127"/>
  <c r="E269" i="127"/>
  <c r="E267" i="127"/>
  <c r="E265" i="127"/>
  <c r="J126" i="99"/>
  <c r="K126" i="99" s="1"/>
  <c r="G29" i="21"/>
  <c r="G33" i="21" s="1"/>
  <c r="G35" i="21" s="1"/>
  <c r="C24" i="113"/>
  <c r="D24" i="113" s="1"/>
  <c r="J32" i="99"/>
  <c r="K32" i="99" s="1"/>
  <c r="C79" i="113"/>
  <c r="E78" i="113"/>
  <c r="E29" i="21"/>
  <c r="J134" i="99"/>
  <c r="K134" i="99"/>
  <c r="C25" i="113"/>
  <c r="J29" i="21"/>
  <c r="J186" i="99"/>
  <c r="K186" i="99"/>
  <c r="J192" i="99" s="1"/>
  <c r="K192" i="99" s="1"/>
  <c r="J159" i="99"/>
  <c r="K159" i="99" s="1"/>
  <c r="J174" i="99"/>
  <c r="K174" i="99"/>
  <c r="C28" i="113"/>
  <c r="H29" i="21"/>
  <c r="H33" i="21" s="1"/>
  <c r="H35" i="21" s="1"/>
  <c r="C50" i="113"/>
  <c r="D260" i="127"/>
  <c r="D173" i="127"/>
  <c r="D155" i="127"/>
  <c r="D154" i="127"/>
  <c r="J111" i="99"/>
  <c r="K111" i="99" s="1"/>
  <c r="B25" i="31"/>
  <c r="B27" i="31"/>
  <c r="D14" i="31" s="1"/>
  <c r="C11" i="113"/>
  <c r="J75" i="99"/>
  <c r="K75" i="99" s="1"/>
  <c r="G17" i="21"/>
  <c r="D17" i="21"/>
  <c r="D91" i="127"/>
  <c r="C91" i="127" s="1"/>
  <c r="C234" i="127"/>
  <c r="E13" i="98"/>
  <c r="D242" i="127"/>
  <c r="D241" i="127"/>
  <c r="K30" i="21"/>
  <c r="K33" i="21" s="1"/>
  <c r="J76" i="99"/>
  <c r="K76" i="99" s="1"/>
  <c r="C12" i="113"/>
  <c r="J23" i="99"/>
  <c r="K23" i="99" s="1"/>
  <c r="G20" i="98"/>
  <c r="C32" i="21"/>
  <c r="C17" i="21" s="1"/>
  <c r="C16" i="21" s="1"/>
  <c r="J127" i="99"/>
  <c r="K127" i="99" s="1"/>
  <c r="J180" i="99" s="1"/>
  <c r="K180" i="99"/>
  <c r="K29" i="21"/>
  <c r="E12" i="98"/>
  <c r="J262" i="99"/>
  <c r="K262" i="99" s="1"/>
  <c r="C56" i="113"/>
  <c r="I29" i="21"/>
  <c r="C32" i="113"/>
  <c r="J153" i="99"/>
  <c r="J29" i="99"/>
  <c r="K29" i="99" s="1"/>
  <c r="C37" i="113"/>
  <c r="C33" i="113"/>
  <c r="J26" i="99"/>
  <c r="K26" i="99" s="1"/>
  <c r="C13" i="113"/>
  <c r="H249" i="127"/>
  <c r="E18" i="98"/>
  <c r="C18" i="98" s="1"/>
  <c r="E16" i="98"/>
  <c r="C16" i="98" s="1"/>
  <c r="H183" i="127"/>
  <c r="F14" i="98"/>
  <c r="D222" i="127"/>
  <c r="C222" i="127"/>
  <c r="D163" i="127"/>
  <c r="D60" i="127"/>
  <c r="D59" i="127"/>
  <c r="C60" i="127"/>
  <c r="D239" i="127"/>
  <c r="C72" i="113"/>
  <c r="C36" i="113"/>
  <c r="C30" i="113"/>
  <c r="E20" i="98"/>
  <c r="J232" i="99"/>
  <c r="K232" i="99"/>
  <c r="C29" i="113"/>
  <c r="C20" i="113" s="1"/>
  <c r="E55" i="113"/>
  <c r="A13" i="124"/>
  <c r="H8" i="127"/>
  <c r="E15" i="98"/>
  <c r="C35" i="113"/>
  <c r="D49" i="104"/>
  <c r="H219" i="127"/>
  <c r="E17" i="98"/>
  <c r="C17" i="98" s="1"/>
  <c r="H130" i="127"/>
  <c r="C23" i="113"/>
  <c r="D29" i="21"/>
  <c r="J140" i="99"/>
  <c r="K140" i="99"/>
  <c r="C239" i="127"/>
  <c r="O239" i="127" s="1"/>
  <c r="P239" i="127"/>
  <c r="Q239" i="127" s="1"/>
  <c r="C163" i="127"/>
  <c r="O163" i="127" s="1"/>
  <c r="P163" i="127" s="1"/>
  <c r="Q163" i="127" s="1"/>
  <c r="C22" i="113"/>
  <c r="J147" i="99"/>
  <c r="K147" i="99" s="1"/>
  <c r="C29" i="21"/>
  <c r="E46" i="113"/>
  <c r="B24" i="31"/>
  <c r="C155" i="127"/>
  <c r="O155" i="127" s="1"/>
  <c r="P155" i="127" s="1"/>
  <c r="Q155" i="127" s="1"/>
  <c r="C173" i="127"/>
  <c r="C172" i="127" s="1"/>
  <c r="C260" i="127"/>
  <c r="O260" i="127" s="1"/>
  <c r="P260" i="127" s="1"/>
  <c r="Q260" i="127" s="1"/>
  <c r="E49" i="113"/>
  <c r="C31" i="113"/>
  <c r="C27" i="113"/>
  <c r="E14" i="98"/>
  <c r="H50" i="127"/>
  <c r="C10" i="113"/>
  <c r="F20" i="98"/>
  <c r="C34" i="113"/>
  <c r="H265" i="127"/>
  <c r="E22" i="7"/>
  <c r="E24" i="7" s="1"/>
  <c r="H257" i="127"/>
  <c r="F23" i="124"/>
  <c r="E19" i="98"/>
  <c r="C19" i="98" s="1"/>
  <c r="E9" i="113"/>
  <c r="D22" i="7"/>
  <c r="D24" i="7"/>
  <c r="E20" i="113"/>
  <c r="H170" i="127"/>
  <c r="I8" i="98"/>
  <c r="C15" i="97"/>
  <c r="B36" i="99"/>
  <c r="B55" i="99"/>
  <c r="H55" i="99" s="1"/>
  <c r="B59" i="99"/>
  <c r="G60" i="99" s="1"/>
  <c r="D16" i="104"/>
  <c r="B73" i="99"/>
  <c r="B91" i="99"/>
  <c r="B102" i="99"/>
  <c r="G103" i="99"/>
  <c r="O103" i="99"/>
  <c r="L126" i="99"/>
  <c r="N126" i="99" s="1"/>
  <c r="M126" i="99"/>
  <c r="L128" i="99"/>
  <c r="D8" i="21"/>
  <c r="B172" i="99"/>
  <c r="D32" i="104"/>
  <c r="B213" i="99"/>
  <c r="G214" i="99" s="1"/>
  <c r="O214" i="99" s="1"/>
  <c r="D23" i="104"/>
  <c r="B166" i="99"/>
  <c r="B168" i="99"/>
  <c r="C71" i="97"/>
  <c r="C34" i="97"/>
  <c r="C33" i="97" s="1"/>
  <c r="B165" i="99"/>
  <c r="C26" i="97"/>
  <c r="B226" i="99"/>
  <c r="G227" i="99" s="1"/>
  <c r="C107" i="97"/>
  <c r="B50" i="99"/>
  <c r="C131" i="97"/>
  <c r="H11" i="21"/>
  <c r="H34" i="21" s="1"/>
  <c r="B69" i="99"/>
  <c r="C94" i="97"/>
  <c r="C93" i="97"/>
  <c r="B203" i="99"/>
  <c r="H203" i="99" s="1"/>
  <c r="C106" i="97"/>
  <c r="C104" i="97" s="1"/>
  <c r="C102" i="97" s="1"/>
  <c r="C79" i="97"/>
  <c r="C78" i="97" s="1"/>
  <c r="C76" i="97" s="1"/>
  <c r="C98" i="97"/>
  <c r="C30" i="97"/>
  <c r="C29" i="97"/>
  <c r="J141" i="99"/>
  <c r="B167" i="99"/>
  <c r="C108" i="97"/>
  <c r="C69" i="97"/>
  <c r="B164" i="99"/>
  <c r="B46" i="99"/>
  <c r="G47" i="99" s="1"/>
  <c r="C16" i="97"/>
  <c r="C14" i="97" s="1"/>
  <c r="C59" i="97"/>
  <c r="C58" i="97"/>
  <c r="B124" i="99"/>
  <c r="J125" i="99" s="1"/>
  <c r="G51" i="99"/>
  <c r="O51" i="99" s="1"/>
  <c r="C129" i="97"/>
  <c r="C55" i="97"/>
  <c r="C54" i="97" s="1"/>
  <c r="B119" i="99"/>
  <c r="G120" i="99" s="1"/>
  <c r="D24" i="104"/>
  <c r="B235" i="99"/>
  <c r="H235" i="99"/>
  <c r="G213" i="99"/>
  <c r="B190" i="99"/>
  <c r="D33" i="104"/>
  <c r="C8" i="21"/>
  <c r="C10" i="21" s="1"/>
  <c r="I10" i="21" s="1"/>
  <c r="C11" i="21"/>
  <c r="C34" i="21" s="1"/>
  <c r="B145" i="99"/>
  <c r="J146" i="99" s="1"/>
  <c r="K146" i="99" s="1"/>
  <c r="L127" i="99"/>
  <c r="H36" i="99"/>
  <c r="C110" i="97"/>
  <c r="D28" i="104"/>
  <c r="B253" i="99"/>
  <c r="H253" i="99" s="1"/>
  <c r="D21" i="104"/>
  <c r="B260" i="99"/>
  <c r="H260" i="99"/>
  <c r="D26" i="104"/>
  <c r="B240" i="99"/>
  <c r="B218" i="99"/>
  <c r="J219" i="99" s="1"/>
  <c r="K219" i="99" s="1"/>
  <c r="B198" i="99"/>
  <c r="G199" i="99" s="1"/>
  <c r="C90" i="97"/>
  <c r="K11" i="21"/>
  <c r="B178" i="99"/>
  <c r="B151" i="99"/>
  <c r="H151" i="99" s="1"/>
  <c r="I8" i="21"/>
  <c r="D10" i="21"/>
  <c r="D11" i="21" s="1"/>
  <c r="B114" i="99"/>
  <c r="G115" i="99" s="1"/>
  <c r="C49" i="97"/>
  <c r="C48" i="97" s="1"/>
  <c r="C91" i="97"/>
  <c r="C64" i="97"/>
  <c r="C62" i="97" s="1"/>
  <c r="C70" i="97"/>
  <c r="B231" i="99"/>
  <c r="H231" i="99"/>
  <c r="B9" i="99"/>
  <c r="F11" i="104"/>
  <c r="D11" i="104" s="1"/>
  <c r="E36" i="104" s="1"/>
  <c r="E37" i="104" s="1"/>
  <c r="E38" i="104" s="1"/>
  <c r="G11" i="21"/>
  <c r="G34" i="21"/>
  <c r="B63" i="99"/>
  <c r="H63" i="99"/>
  <c r="B107" i="99"/>
  <c r="H107" i="99"/>
  <c r="B138" i="99"/>
  <c r="J139" i="99" s="1"/>
  <c r="K139" i="99" s="1"/>
  <c r="D17" i="104"/>
  <c r="D13" i="104"/>
  <c r="F12" i="104"/>
  <c r="D12" i="104" s="1"/>
  <c r="J11" i="21"/>
  <c r="D25" i="104"/>
  <c r="F25" i="104" s="1"/>
  <c r="B184" i="99"/>
  <c r="C17" i="97"/>
  <c r="J247" i="99"/>
  <c r="K247" i="99"/>
  <c r="C65" i="97"/>
  <c r="C160" i="97"/>
  <c r="F8" i="146" s="1"/>
  <c r="J148" i="99"/>
  <c r="B157" i="99"/>
  <c r="J158" i="99" s="1"/>
  <c r="K158" i="99" s="1"/>
  <c r="G102" i="99"/>
  <c r="H102" i="99" s="1"/>
  <c r="B14" i="109"/>
  <c r="B12" i="109" s="1"/>
  <c r="C13" i="109" s="1"/>
  <c r="P136" i="127"/>
  <c r="Q136" i="127" s="1"/>
  <c r="C101" i="127"/>
  <c r="O101" i="127" s="1"/>
  <c r="P101" i="127"/>
  <c r="Q101" i="127" s="1"/>
  <c r="E17" i="127"/>
  <c r="C18" i="127"/>
  <c r="O18" i="127"/>
  <c r="P18" i="127" s="1"/>
  <c r="Q18" i="127" s="1"/>
  <c r="C34" i="124"/>
  <c r="B22" i="124"/>
  <c r="B23" i="124" s="1"/>
  <c r="D34" i="124"/>
  <c r="D35" i="124"/>
  <c r="C68" i="127"/>
  <c r="O68" i="127"/>
  <c r="P68" i="127" s="1"/>
  <c r="Q68" i="127" s="1"/>
  <c r="G24" i="127"/>
  <c r="D75" i="127"/>
  <c r="C53" i="127"/>
  <c r="C174" i="127"/>
  <c r="O174" i="127" s="1"/>
  <c r="P174" i="127" s="1"/>
  <c r="C268" i="127"/>
  <c r="F227" i="127"/>
  <c r="G210" i="127"/>
  <c r="C165" i="127"/>
  <c r="O165" i="127" s="1"/>
  <c r="P165" i="127" s="1"/>
  <c r="Q165" i="127" s="1"/>
  <c r="C160" i="127"/>
  <c r="O160" i="127" s="1"/>
  <c r="P160" i="127" s="1"/>
  <c r="Q160" i="127" s="1"/>
  <c r="C150" i="127"/>
  <c r="O150" i="127" s="1"/>
  <c r="P150" i="127" s="1"/>
  <c r="Q150" i="127" s="1"/>
  <c r="C148" i="127"/>
  <c r="O148" i="127"/>
  <c r="P148" i="127" s="1"/>
  <c r="Q148" i="127" s="1"/>
  <c r="P137" i="127"/>
  <c r="Q137" i="127" s="1"/>
  <c r="G112" i="127"/>
  <c r="P109" i="127"/>
  <c r="Q109" i="127" s="1"/>
  <c r="C106" i="127"/>
  <c r="O106" i="127" s="1"/>
  <c r="P106" i="127"/>
  <c r="Q106" i="127" s="1"/>
  <c r="C92" i="127"/>
  <c r="O92" i="127"/>
  <c r="P92" i="127" s="1"/>
  <c r="Q92" i="127" s="1"/>
  <c r="C79" i="127"/>
  <c r="O79" i="127"/>
  <c r="P79" i="127" s="1"/>
  <c r="Q79" i="127" s="1"/>
  <c r="E59" i="127"/>
  <c r="C62" i="127"/>
  <c r="O62" i="127" s="1"/>
  <c r="P62" i="127"/>
  <c r="Q62" i="127" s="1"/>
  <c r="F52" i="127"/>
  <c r="F17" i="127"/>
  <c r="C38" i="97"/>
  <c r="C37" i="97"/>
  <c r="J108" i="99"/>
  <c r="K108" i="99" s="1"/>
  <c r="C89" i="97"/>
  <c r="C105" i="97"/>
  <c r="M127" i="99"/>
  <c r="H190" i="99"/>
  <c r="J191" i="99"/>
  <c r="K191" i="99" s="1"/>
  <c r="B163" i="99"/>
  <c r="H163" i="99" s="1"/>
  <c r="B317" i="99"/>
  <c r="C25" i="97"/>
  <c r="C24" i="97"/>
  <c r="C22" i="97" s="1"/>
  <c r="C20" i="97" s="1"/>
  <c r="C12" i="97" s="1"/>
  <c r="C83" i="97"/>
  <c r="C82" i="97"/>
  <c r="J179" i="99"/>
  <c r="K179" i="99" s="1"/>
  <c r="H178" i="99"/>
  <c r="C95" i="97"/>
  <c r="H240" i="99"/>
  <c r="J241" i="99"/>
  <c r="K241" i="99" s="1"/>
  <c r="E11" i="21"/>
  <c r="E34" i="21" s="1"/>
  <c r="E35" i="21" s="1"/>
  <c r="C63" i="97"/>
  <c r="B132" i="99"/>
  <c r="J133" i="99"/>
  <c r="K133" i="99"/>
  <c r="K125" i="99"/>
  <c r="O147" i="127"/>
  <c r="P147" i="127"/>
  <c r="Q147" i="127" s="1"/>
  <c r="O53" i="127"/>
  <c r="P53" i="127" s="1"/>
  <c r="Q53" i="127" s="1"/>
  <c r="Q200" i="127"/>
  <c r="D15" i="124"/>
  <c r="C15" i="124"/>
  <c r="O268" i="127"/>
  <c r="P268" i="127" s="1"/>
  <c r="Q268" i="127" s="1"/>
  <c r="Q174" i="127"/>
  <c r="E154" i="97"/>
  <c r="H132" i="99"/>
  <c r="E150" i="97"/>
  <c r="E8" i="104"/>
  <c r="D53" i="104"/>
  <c r="D52" i="104"/>
  <c r="O17" i="98"/>
  <c r="P17" i="98"/>
  <c r="Q17" i="98" s="1"/>
  <c r="J92" i="99"/>
  <c r="K92" i="99" s="1"/>
  <c r="H91" i="99"/>
  <c r="O18" i="98"/>
  <c r="P18" i="98" s="1"/>
  <c r="Q18" i="98"/>
  <c r="C85" i="127"/>
  <c r="C84" i="127" s="1"/>
  <c r="G84" i="127"/>
  <c r="O233" i="127"/>
  <c r="P233" i="127"/>
  <c r="Q233" i="127" s="1"/>
  <c r="C78" i="127"/>
  <c r="O78" i="127" s="1"/>
  <c r="P78" i="127" s="1"/>
  <c r="Q78" i="127"/>
  <c r="C13" i="111"/>
  <c r="D13" i="111"/>
  <c r="O16" i="98"/>
  <c r="P16" i="98"/>
  <c r="Q16" i="98" s="1"/>
  <c r="C69" i="127"/>
  <c r="O69" i="127"/>
  <c r="P69" i="127" s="1"/>
  <c r="Q69" i="127" s="1"/>
  <c r="O60" i="127"/>
  <c r="P60" i="127" s="1"/>
  <c r="Q60" i="127" s="1"/>
  <c r="D90" i="127"/>
  <c r="H30" i="21"/>
  <c r="H17" i="21"/>
  <c r="J38" i="99"/>
  <c r="K38" i="99" s="1"/>
  <c r="J39" i="99"/>
  <c r="K39" i="99" s="1"/>
  <c r="J42" i="99"/>
  <c r="K42" i="99"/>
  <c r="C63" i="127"/>
  <c r="O63" i="127" s="1"/>
  <c r="P63" i="127" s="1"/>
  <c r="Q63" i="127" s="1"/>
  <c r="F59" i="127"/>
  <c r="G10" i="127"/>
  <c r="C12" i="127"/>
  <c r="O253" i="127"/>
  <c r="P253" i="127" s="1"/>
  <c r="Q253" i="127"/>
  <c r="G70" i="99"/>
  <c r="O70" i="99" s="1"/>
  <c r="O19" i="98"/>
  <c r="P19" i="98"/>
  <c r="Q19" i="98" s="1"/>
  <c r="C49" i="113"/>
  <c r="O246" i="127"/>
  <c r="P246" i="127" s="1"/>
  <c r="Q246" i="127" s="1"/>
  <c r="C86" i="127"/>
  <c r="O86" i="127" s="1"/>
  <c r="P86" i="127" s="1"/>
  <c r="Q86" i="127" s="1"/>
  <c r="O151" i="127"/>
  <c r="P151" i="127" s="1"/>
  <c r="Q151" i="127" s="1"/>
  <c r="D145" i="127"/>
  <c r="C139" i="127"/>
  <c r="O35" i="127"/>
  <c r="P35" i="127"/>
  <c r="Q35" i="127" s="1"/>
  <c r="E31" i="127"/>
  <c r="H124" i="99"/>
  <c r="I11" i="21"/>
  <c r="I34" i="21" s="1"/>
  <c r="J12" i="99"/>
  <c r="K12" i="99" s="1"/>
  <c r="J40" i="99"/>
  <c r="K40" i="99" s="1"/>
  <c r="F22" i="7"/>
  <c r="F24" i="7"/>
  <c r="F33" i="21"/>
  <c r="F35" i="21" s="1"/>
  <c r="F12" i="21" s="1"/>
  <c r="E158" i="127"/>
  <c r="O161" i="127"/>
  <c r="P161" i="127" s="1"/>
  <c r="Q161" i="127" s="1"/>
  <c r="F195" i="127"/>
  <c r="F158" i="127"/>
  <c r="F130" i="127"/>
  <c r="E145" i="127"/>
  <c r="C30" i="21"/>
  <c r="C33" i="21" s="1"/>
  <c r="C35" i="21" s="1"/>
  <c r="E9" i="98"/>
  <c r="O43" i="127"/>
  <c r="P43" i="127" s="1"/>
  <c r="Q43" i="127"/>
  <c r="H9" i="98"/>
  <c r="C68" i="97"/>
  <c r="J74" i="99"/>
  <c r="K74" i="99" s="1"/>
  <c r="O140" i="127"/>
  <c r="P140" i="127" s="1"/>
  <c r="Q140" i="127" s="1"/>
  <c r="J41" i="99"/>
  <c r="K41" i="99"/>
  <c r="C20" i="127"/>
  <c r="O20" i="127"/>
  <c r="P20" i="127" s="1"/>
  <c r="Q20" i="127" s="1"/>
  <c r="H9" i="99"/>
  <c r="J37" i="99"/>
  <c r="K37" i="99"/>
  <c r="C9" i="113"/>
  <c r="D13" i="113" s="1"/>
  <c r="J152" i="99"/>
  <c r="K152" i="99" s="1"/>
  <c r="J10" i="99"/>
  <c r="K10" i="99" s="1"/>
  <c r="C15" i="98"/>
  <c r="C67" i="127"/>
  <c r="C261" i="127"/>
  <c r="O261" i="127" s="1"/>
  <c r="P261" i="127" s="1"/>
  <c r="Q261" i="127"/>
  <c r="D259" i="127"/>
  <c r="D257" i="127" s="1"/>
  <c r="F100" i="127"/>
  <c r="G95" i="127"/>
  <c r="C93" i="127"/>
  <c r="O93" i="127" s="1"/>
  <c r="P93" i="127" s="1"/>
  <c r="Q93" i="127" s="1"/>
  <c r="C56" i="127"/>
  <c r="O56" i="127" s="1"/>
  <c r="P56" i="127"/>
  <c r="Q56" i="127" s="1"/>
  <c r="D30" i="21"/>
  <c r="D33" i="21"/>
  <c r="D18" i="21"/>
  <c r="D16" i="21" s="1"/>
  <c r="C141" i="127"/>
  <c r="O141" i="127"/>
  <c r="P141" i="127"/>
  <c r="Q141" i="127"/>
  <c r="D139" i="127"/>
  <c r="G38" i="127"/>
  <c r="E205" i="127"/>
  <c r="E38" i="127"/>
  <c r="C32" i="127"/>
  <c r="C25" i="127"/>
  <c r="O25" i="127" s="1"/>
  <c r="P25" i="127" s="1"/>
  <c r="Q25" i="127" s="1"/>
  <c r="E24" i="127"/>
  <c r="J34" i="21"/>
  <c r="J35" i="21"/>
  <c r="J12" i="21"/>
  <c r="J20" i="21" s="1"/>
  <c r="J22" i="21" s="1"/>
  <c r="F9" i="98"/>
  <c r="F25" i="98" s="1"/>
  <c r="D267" i="127"/>
  <c r="D265" i="127" s="1"/>
  <c r="C269" i="127"/>
  <c r="C104" i="127"/>
  <c r="O104" i="127"/>
  <c r="P104" i="127" s="1"/>
  <c r="Q104" i="127" s="1"/>
  <c r="F24" i="127"/>
  <c r="C237" i="127"/>
  <c r="O237" i="127" s="1"/>
  <c r="G145" i="127"/>
  <c r="G132" i="127"/>
  <c r="C121" i="127"/>
  <c r="O121" i="127" s="1"/>
  <c r="P121" i="127" s="1"/>
  <c r="Q121" i="127" s="1"/>
  <c r="J16" i="146"/>
  <c r="C19" i="146"/>
  <c r="I75" i="174"/>
  <c r="B34" i="124"/>
  <c r="E34" i="124"/>
  <c r="C186" i="127"/>
  <c r="D22" i="188"/>
  <c r="C25" i="188"/>
  <c r="C26" i="188" s="1"/>
  <c r="D28" i="188" s="1"/>
  <c r="D251" i="127"/>
  <c r="D249" i="127" s="1"/>
  <c r="O74" i="99"/>
  <c r="G73" i="99"/>
  <c r="C207" i="127"/>
  <c r="O207" i="127" s="1"/>
  <c r="P207" i="127" s="1"/>
  <c r="Q207" i="127" s="1"/>
  <c r="C197" i="127"/>
  <c r="O197" i="127" s="1"/>
  <c r="P197" i="127"/>
  <c r="Q197" i="127" s="1"/>
  <c r="D195" i="127"/>
  <c r="C245" i="127"/>
  <c r="D244" i="127"/>
  <c r="E210" i="127"/>
  <c r="C26" i="193"/>
  <c r="C24" i="193"/>
  <c r="C28" i="193"/>
  <c r="G41" i="195"/>
  <c r="J43" i="195"/>
  <c r="C96" i="113"/>
  <c r="H298" i="99"/>
  <c r="G71" i="174"/>
  <c r="I76" i="174"/>
  <c r="C146" i="127"/>
  <c r="C159" i="127"/>
  <c r="C108" i="127"/>
  <c r="O108" i="127" s="1"/>
  <c r="P108" i="127" s="1"/>
  <c r="Q108" i="127" s="1"/>
  <c r="E84" i="127"/>
  <c r="E66" i="127"/>
  <c r="C39" i="127"/>
  <c r="C15" i="127"/>
  <c r="O15" i="127" s="1"/>
  <c r="P15" i="127" s="1"/>
  <c r="Q15" i="127" s="1"/>
  <c r="H292" i="99"/>
  <c r="N9" i="98"/>
  <c r="C26" i="127"/>
  <c r="O26" i="127" s="1"/>
  <c r="P26" i="127" s="1"/>
  <c r="Q26" i="127" s="1"/>
  <c r="F30" i="21"/>
  <c r="C105" i="127"/>
  <c r="O105" i="127"/>
  <c r="P105" i="127"/>
  <c r="Q105" i="127"/>
  <c r="U10" i="98"/>
  <c r="E16" i="102"/>
  <c r="F20" i="193"/>
  <c r="D20" i="193" s="1"/>
  <c r="M25" i="193"/>
  <c r="M28" i="193" s="1"/>
  <c r="C193" i="127"/>
  <c r="O193" i="127" s="1"/>
  <c r="P193" i="127" s="1"/>
  <c r="Q193" i="127" s="1"/>
  <c r="F18" i="21"/>
  <c r="F16" i="21"/>
  <c r="E10" i="127"/>
  <c r="E8" i="127" s="1"/>
  <c r="C25" i="193"/>
  <c r="F251" i="127"/>
  <c r="F249" i="127"/>
  <c r="C196" i="127"/>
  <c r="O196" i="127" s="1"/>
  <c r="P196" i="127" s="1"/>
  <c r="Q196" i="127" s="1"/>
  <c r="C81" i="127"/>
  <c r="O81" i="127" s="1"/>
  <c r="P81" i="127" s="1"/>
  <c r="Q81" i="127" s="1"/>
  <c r="O57" i="127"/>
  <c r="P57" i="127" s="1"/>
  <c r="Q57" i="127"/>
  <c r="B22" i="188"/>
  <c r="G24" i="196"/>
  <c r="C43" i="188"/>
  <c r="C45" i="188"/>
  <c r="C47" i="188" s="1"/>
  <c r="D26" i="188"/>
  <c r="J13" i="21"/>
  <c r="J15" i="21" s="1"/>
  <c r="J21" i="21"/>
  <c r="O269" i="127"/>
  <c r="P269" i="127" s="1"/>
  <c r="Q269" i="127" s="1"/>
  <c r="C267" i="127"/>
  <c r="C265" i="127" s="1"/>
  <c r="I265" i="127"/>
  <c r="C259" i="127"/>
  <c r="C257" i="127"/>
  <c r="I257" i="127"/>
  <c r="O67" i="127"/>
  <c r="P67" i="127" s="1"/>
  <c r="Q67" i="127" s="1"/>
  <c r="O13" i="98"/>
  <c r="P13" i="98" s="1"/>
  <c r="Q13" i="98" s="1"/>
  <c r="C11" i="111"/>
  <c r="O76" i="127"/>
  <c r="P76" i="127" s="1"/>
  <c r="Q76" i="127"/>
  <c r="P97" i="127"/>
  <c r="Q97" i="127" s="1"/>
  <c r="G69" i="99"/>
  <c r="H69" i="99" s="1"/>
  <c r="O146" i="127"/>
  <c r="P146" i="127"/>
  <c r="Q146" i="127"/>
  <c r="J19" i="146"/>
  <c r="C22" i="146"/>
  <c r="J22" i="146" s="1"/>
  <c r="C25" i="146"/>
  <c r="J25" i="146" s="1"/>
  <c r="F49" i="113"/>
  <c r="F96" i="113"/>
  <c r="D122" i="113"/>
  <c r="O186" i="127"/>
  <c r="P186" i="127"/>
  <c r="Q186" i="127"/>
  <c r="O15" i="98"/>
  <c r="P15" i="98" s="1"/>
  <c r="Q15" i="98" s="1"/>
  <c r="D45" i="104"/>
  <c r="F9" i="113"/>
  <c r="D10" i="113"/>
  <c r="E15" i="124"/>
  <c r="E35" i="124"/>
  <c r="P237" i="127"/>
  <c r="Q237" i="127" s="1"/>
  <c r="C244" i="127"/>
  <c r="O245" i="127"/>
  <c r="P245" i="127" s="1"/>
  <c r="Q245" i="127" s="1"/>
  <c r="B35" i="124"/>
  <c r="B15" i="124"/>
  <c r="O12" i="127"/>
  <c r="P12" i="127" s="1"/>
  <c r="Q12" i="127" s="1"/>
  <c r="C90" i="127"/>
  <c r="O91" i="127"/>
  <c r="P91" i="127" s="1"/>
  <c r="Q91" i="127" s="1"/>
  <c r="O102" i="127"/>
  <c r="P102" i="127"/>
  <c r="Q102" i="127"/>
  <c r="O32" i="127"/>
  <c r="P32" i="127" s="1"/>
  <c r="Q32" i="127" s="1"/>
  <c r="O159" i="127"/>
  <c r="P159" i="127"/>
  <c r="Q159" i="127" s="1"/>
  <c r="D11" i="111"/>
  <c r="H12" i="21" l="1"/>
  <c r="D47" i="104"/>
  <c r="G12" i="21"/>
  <c r="D46" i="104"/>
  <c r="F78" i="113"/>
  <c r="C46" i="113"/>
  <c r="O96" i="127"/>
  <c r="P96" i="127" s="1"/>
  <c r="Q96" i="127" s="1"/>
  <c r="C95" i="127"/>
  <c r="O107" i="127"/>
  <c r="P107" i="127" s="1"/>
  <c r="Q107" i="127" s="1"/>
  <c r="C100" i="127"/>
  <c r="C50" i="188"/>
  <c r="C51" i="188"/>
  <c r="C53" i="188" s="1"/>
  <c r="D44" i="104"/>
  <c r="E12" i="21"/>
  <c r="E20" i="21" s="1"/>
  <c r="E22" i="21" s="1"/>
  <c r="F13" i="21"/>
  <c r="F15" i="21" s="1"/>
  <c r="F21" i="21" s="1"/>
  <c r="F20" i="21"/>
  <c r="F22" i="21" s="1"/>
  <c r="C12" i="21"/>
  <c r="D42" i="104"/>
  <c r="D31" i="113"/>
  <c r="D33" i="113"/>
  <c r="D37" i="113"/>
  <c r="D36" i="113"/>
  <c r="F20" i="113"/>
  <c r="D22" i="113"/>
  <c r="D28" i="113"/>
  <c r="D23" i="113"/>
  <c r="D26" i="113"/>
  <c r="D30" i="113"/>
  <c r="D25" i="113"/>
  <c r="D34" i="113"/>
  <c r="D35" i="113"/>
  <c r="O47" i="99"/>
  <c r="G46" i="99"/>
  <c r="D58" i="113"/>
  <c r="D32" i="113"/>
  <c r="G25" i="98"/>
  <c r="H184" i="99"/>
  <c r="J185" i="99"/>
  <c r="K185" i="99" s="1"/>
  <c r="G198" i="99"/>
  <c r="H198" i="99" s="1"/>
  <c r="O199" i="99"/>
  <c r="E13" i="21"/>
  <c r="E15" i="21" s="1"/>
  <c r="E21" i="21" s="1"/>
  <c r="H46" i="99"/>
  <c r="D37" i="188"/>
  <c r="M128" i="99"/>
  <c r="N128" i="99" s="1"/>
  <c r="I33" i="21"/>
  <c r="I35" i="21" s="1"/>
  <c r="C224" i="127"/>
  <c r="O224" i="127" s="1"/>
  <c r="P224" i="127" s="1"/>
  <c r="Q224" i="127" s="1"/>
  <c r="D178" i="127"/>
  <c r="C179" i="127"/>
  <c r="G10" i="195"/>
  <c r="I63" i="194"/>
  <c r="I69" i="194" s="1"/>
  <c r="J318" i="99"/>
  <c r="C12" i="109"/>
  <c r="O222" i="127"/>
  <c r="P222" i="127" s="1"/>
  <c r="Q222" i="127" s="1"/>
  <c r="C55" i="113"/>
  <c r="F55" i="113" s="1"/>
  <c r="C232" i="127"/>
  <c r="O234" i="127"/>
  <c r="P234" i="127" s="1"/>
  <c r="Q234" i="127" s="1"/>
  <c r="E25" i="98"/>
  <c r="O85" i="127"/>
  <c r="P85" i="127" s="1"/>
  <c r="Q85" i="127" s="1"/>
  <c r="C28" i="188"/>
  <c r="C29" i="188" s="1"/>
  <c r="C37" i="188" s="1"/>
  <c r="C37" i="124"/>
  <c r="C38" i="124" s="1"/>
  <c r="K141" i="99"/>
  <c r="K149" i="99" s="1"/>
  <c r="G226" i="99"/>
  <c r="H226" i="99" s="1"/>
  <c r="O227" i="99"/>
  <c r="F185" i="127"/>
  <c r="F183" i="127" s="1"/>
  <c r="C187" i="127"/>
  <c r="C166" i="127"/>
  <c r="I29" i="194"/>
  <c r="I36" i="194" s="1"/>
  <c r="B25" i="188"/>
  <c r="B26" i="188"/>
  <c r="N127" i="99"/>
  <c r="L179" i="99"/>
  <c r="G119" i="99"/>
  <c r="H119" i="99" s="1"/>
  <c r="O120" i="99"/>
  <c r="O173" i="127"/>
  <c r="P173" i="127" s="1"/>
  <c r="Q173" i="127" s="1"/>
  <c r="E251" i="127"/>
  <c r="E249" i="127" s="1"/>
  <c r="C252" i="127"/>
  <c r="O39" i="127"/>
  <c r="P39" i="127" s="1"/>
  <c r="Q39" i="127" s="1"/>
  <c r="C38" i="127"/>
  <c r="C97" i="97"/>
  <c r="C24" i="127"/>
  <c r="C195" i="127"/>
  <c r="C14" i="109"/>
  <c r="C35" i="124"/>
  <c r="G114" i="99"/>
  <c r="H114" i="99" s="1"/>
  <c r="O115" i="99"/>
  <c r="C128" i="97"/>
  <c r="C126" i="97" s="1"/>
  <c r="C116" i="97" s="1"/>
  <c r="D11" i="113"/>
  <c r="D9" i="113" s="1"/>
  <c r="D95" i="127"/>
  <c r="C205" i="127"/>
  <c r="K148" i="99"/>
  <c r="G148" i="99" s="1"/>
  <c r="D34" i="21"/>
  <c r="D35" i="21" s="1"/>
  <c r="C11" i="127"/>
  <c r="D10" i="127"/>
  <c r="C66" i="127"/>
  <c r="O70" i="127"/>
  <c r="P70" i="127" s="1"/>
  <c r="Q70" i="127" s="1"/>
  <c r="D27" i="113"/>
  <c r="O60" i="99"/>
  <c r="G59" i="99"/>
  <c r="H59" i="99" s="1"/>
  <c r="J110" i="99"/>
  <c r="K110" i="99" s="1"/>
  <c r="C17" i="127"/>
  <c r="C52" i="97"/>
  <c r="C46" i="97" s="1"/>
  <c r="C43" i="97" s="1"/>
  <c r="C9" i="97" s="1"/>
  <c r="C150" i="97" s="1"/>
  <c r="D12" i="113"/>
  <c r="D185" i="127"/>
  <c r="D183" i="127" s="1"/>
  <c r="D170" i="127"/>
  <c r="D29" i="113"/>
  <c r="C75" i="127"/>
  <c r="C236" i="127"/>
  <c r="K34" i="21"/>
  <c r="K35" i="21" s="1"/>
  <c r="K12" i="21" s="1"/>
  <c r="C223" i="127"/>
  <c r="O223" i="127" s="1"/>
  <c r="P223" i="127" s="1"/>
  <c r="Q223" i="127" s="1"/>
  <c r="E221" i="127"/>
  <c r="E118" i="127"/>
  <c r="O119" i="127"/>
  <c r="P119" i="127" s="1"/>
  <c r="Q119" i="127" s="1"/>
  <c r="C52" i="127"/>
  <c r="H172" i="99"/>
  <c r="J173" i="99"/>
  <c r="K173" i="99" s="1"/>
  <c r="D210" i="127"/>
  <c r="C116" i="127"/>
  <c r="O116" i="127" s="1"/>
  <c r="P116" i="127" s="1"/>
  <c r="Q116" i="127" s="1"/>
  <c r="C192" i="127"/>
  <c r="O192" i="127" s="1"/>
  <c r="P192" i="127" s="1"/>
  <c r="Q192" i="127" s="1"/>
  <c r="C149" i="127"/>
  <c r="O149" i="127" s="1"/>
  <c r="P149" i="127" s="1"/>
  <c r="Q149" i="127" s="1"/>
  <c r="E75" i="127"/>
  <c r="G32" i="196"/>
  <c r="G8" i="196" s="1"/>
  <c r="G53" i="196" s="1"/>
  <c r="C123" i="127"/>
  <c r="O123" i="127" s="1"/>
  <c r="P123" i="127" s="1"/>
  <c r="Q123" i="127" s="1"/>
  <c r="F105" i="113"/>
  <c r="H213" i="99"/>
  <c r="F75" i="127"/>
  <c r="F50" i="127" s="1"/>
  <c r="J13" i="99"/>
  <c r="K13" i="99" s="1"/>
  <c r="J11" i="99"/>
  <c r="K11" i="99" s="1"/>
  <c r="J204" i="99"/>
  <c r="K204" i="99" s="1"/>
  <c r="D112" i="127"/>
  <c r="C156" i="127"/>
  <c r="O156" i="127" s="1"/>
  <c r="P156" i="127" s="1"/>
  <c r="Q156" i="127" s="1"/>
  <c r="F38" i="127"/>
  <c r="F8" i="127" s="1"/>
  <c r="C20" i="98"/>
  <c r="C135" i="127"/>
  <c r="O135" i="127" s="1"/>
  <c r="P135" i="127" s="1"/>
  <c r="Q135" i="127" s="1"/>
  <c r="C229" i="127"/>
  <c r="O229" i="127" s="1"/>
  <c r="P229" i="127" s="1"/>
  <c r="Q229" i="127" s="1"/>
  <c r="E227" i="127"/>
  <c r="C191" i="127"/>
  <c r="O191" i="127" s="1"/>
  <c r="P191" i="127" s="1"/>
  <c r="Q191" i="127" s="1"/>
  <c r="C115" i="127"/>
  <c r="O115" i="127" s="1"/>
  <c r="P115" i="127" s="1"/>
  <c r="Q115" i="127" s="1"/>
  <c r="G1" i="99"/>
  <c r="C12" i="98"/>
  <c r="G227" i="127"/>
  <c r="C228" i="127"/>
  <c r="G158" i="127"/>
  <c r="G130" i="127" s="1"/>
  <c r="C122" i="127"/>
  <c r="O122" i="127" s="1"/>
  <c r="P122" i="127" s="1"/>
  <c r="Q122" i="127" s="1"/>
  <c r="C211" i="127"/>
  <c r="D17" i="127"/>
  <c r="H218" i="99"/>
  <c r="H73" i="99"/>
  <c r="C14" i="98"/>
  <c r="D24" i="127"/>
  <c r="C34" i="127"/>
  <c r="O34" i="127" s="1"/>
  <c r="P34" i="127" s="1"/>
  <c r="Q34" i="127" s="1"/>
  <c r="C212" i="127"/>
  <c r="O212" i="127" s="1"/>
  <c r="P212" i="127" s="1"/>
  <c r="Q212" i="127" s="1"/>
  <c r="E195" i="127"/>
  <c r="E183" i="127" s="1"/>
  <c r="G185" i="127"/>
  <c r="G183" i="127" s="1"/>
  <c r="G100" i="127"/>
  <c r="D132" i="127"/>
  <c r="E14" i="109"/>
  <c r="G221" i="127"/>
  <c r="C190" i="127"/>
  <c r="O190" i="127" s="1"/>
  <c r="P190" i="127" s="1"/>
  <c r="Q190" i="127" s="1"/>
  <c r="G50" i="99"/>
  <c r="H50" i="99" s="1"/>
  <c r="D205" i="127"/>
  <c r="G195" i="127"/>
  <c r="D158" i="127"/>
  <c r="D66" i="127"/>
  <c r="C133" i="127"/>
  <c r="E132" i="127"/>
  <c r="E130" i="127" s="1"/>
  <c r="G66" i="127"/>
  <c r="G17" i="127"/>
  <c r="G8" i="127" s="1"/>
  <c r="J109" i="99"/>
  <c r="K109" i="99" s="1"/>
  <c r="F34" i="124"/>
  <c r="G34" i="124" s="1"/>
  <c r="G15" i="124" s="1"/>
  <c r="A15" i="124"/>
  <c r="D52" i="127"/>
  <c r="G59" i="127"/>
  <c r="E52" i="127"/>
  <c r="C140" i="97"/>
  <c r="C138" i="97" s="1"/>
  <c r="C136" i="97" s="1"/>
  <c r="G50" i="195"/>
  <c r="J51" i="195" s="1"/>
  <c r="F232" i="127"/>
  <c r="F219" i="127" s="1"/>
  <c r="H157" i="99"/>
  <c r="C46" i="127"/>
  <c r="C88" i="97"/>
  <c r="C86" i="97" s="1"/>
  <c r="G16" i="21"/>
  <c r="I30" i="21"/>
  <c r="I18" i="21"/>
  <c r="I16" i="21" s="1"/>
  <c r="C64" i="127"/>
  <c r="G259" i="127"/>
  <c r="G257" i="127" s="1"/>
  <c r="C230" i="127"/>
  <c r="O230" i="127" s="1"/>
  <c r="P230" i="127" s="1"/>
  <c r="Q230" i="127" s="1"/>
  <c r="E241" i="127"/>
  <c r="C242" i="127"/>
  <c r="G1" i="127"/>
  <c r="H1" i="98"/>
  <c r="H21" i="146"/>
  <c r="D16" i="146" s="1"/>
  <c r="H246" i="99"/>
  <c r="D43" i="104" l="1"/>
  <c r="D12" i="21"/>
  <c r="F273" i="127"/>
  <c r="G145" i="99"/>
  <c r="I9" i="98"/>
  <c r="D15" i="97"/>
  <c r="D83" i="97"/>
  <c r="D82" i="97" s="1"/>
  <c r="D95" i="97"/>
  <c r="D38" i="97"/>
  <c r="D37" i="97" s="1"/>
  <c r="D130" i="97"/>
  <c r="D71" i="97"/>
  <c r="D90" i="97"/>
  <c r="C134" i="113"/>
  <c r="D94" i="97"/>
  <c r="D93" i="97" s="1"/>
  <c r="D69" i="97"/>
  <c r="D70" i="97"/>
  <c r="D16" i="97"/>
  <c r="D105" i="97"/>
  <c r="D122" i="97"/>
  <c r="D121" i="97" s="1"/>
  <c r="D119" i="97" s="1"/>
  <c r="F150" i="97"/>
  <c r="D26" i="97"/>
  <c r="D106" i="97"/>
  <c r="D89" i="97"/>
  <c r="D17" i="97"/>
  <c r="D147" i="97"/>
  <c r="D145" i="97" s="1"/>
  <c r="D55" i="97"/>
  <c r="D54" i="97" s="1"/>
  <c r="D30" i="97"/>
  <c r="D29" i="97" s="1"/>
  <c r="D129" i="97"/>
  <c r="D63" i="97"/>
  <c r="D62" i="97" s="1"/>
  <c r="C154" i="97"/>
  <c r="D110" i="97"/>
  <c r="D107" i="97"/>
  <c r="D141" i="97"/>
  <c r="D142" i="97"/>
  <c r="D91" i="97"/>
  <c r="D65" i="97"/>
  <c r="D108" i="97"/>
  <c r="D59" i="97"/>
  <c r="D58" i="97" s="1"/>
  <c r="D79" i="97"/>
  <c r="D78" i="97" s="1"/>
  <c r="D76" i="97" s="1"/>
  <c r="D98" i="97"/>
  <c r="D97" i="97" s="1"/>
  <c r="D34" i="97"/>
  <c r="D33" i="97" s="1"/>
  <c r="D25" i="97"/>
  <c r="D24" i="97" s="1"/>
  <c r="D49" i="97"/>
  <c r="D48" i="97" s="1"/>
  <c r="D131" i="97"/>
  <c r="D64" i="97"/>
  <c r="C178" i="127"/>
  <c r="C170" i="127" s="1"/>
  <c r="I170" i="127" s="1"/>
  <c r="O179" i="127"/>
  <c r="P179" i="127" s="1"/>
  <c r="Q179" i="127" s="1"/>
  <c r="O133" i="127"/>
  <c r="P133" i="127" s="1"/>
  <c r="Q133" i="127" s="1"/>
  <c r="C132" i="127"/>
  <c r="D8" i="127"/>
  <c r="C31" i="127"/>
  <c r="O64" i="127"/>
  <c r="P64" i="127" s="1"/>
  <c r="Q64" i="127" s="1"/>
  <c r="C59" i="127"/>
  <c r="O11" i="127"/>
  <c r="C10" i="127"/>
  <c r="C8" i="127" s="1"/>
  <c r="C112" i="127"/>
  <c r="C12" i="111"/>
  <c r="O14" i="98"/>
  <c r="P14" i="98" s="1"/>
  <c r="Q14" i="98" s="1"/>
  <c r="D54" i="104"/>
  <c r="E39" i="104" s="1"/>
  <c r="H318" i="99"/>
  <c r="C13" i="21"/>
  <c r="C15" i="21" s="1"/>
  <c r="C21" i="21" s="1"/>
  <c r="C20" i="21"/>
  <c r="C22" i="21" s="1"/>
  <c r="D48" i="104"/>
  <c r="I12" i="21"/>
  <c r="C128" i="113"/>
  <c r="D81" i="113"/>
  <c r="D113" i="113"/>
  <c r="D73" i="113"/>
  <c r="D72" i="113" s="1"/>
  <c r="D61" i="113"/>
  <c r="D57" i="113"/>
  <c r="D119" i="113"/>
  <c r="D60" i="113"/>
  <c r="D107" i="113"/>
  <c r="D112" i="113"/>
  <c r="D111" i="113" s="1"/>
  <c r="D118" i="113"/>
  <c r="D117" i="113" s="1"/>
  <c r="D84" i="113"/>
  <c r="D83" i="113"/>
  <c r="D82" i="113"/>
  <c r="F46" i="113"/>
  <c r="F128" i="113" s="1"/>
  <c r="D50" i="113"/>
  <c r="D101" i="113"/>
  <c r="D74" i="113"/>
  <c r="D79" i="113"/>
  <c r="D59" i="113"/>
  <c r="D80" i="113"/>
  <c r="D51" i="113"/>
  <c r="D68" i="113"/>
  <c r="D100" i="113"/>
  <c r="D99" i="113" s="1"/>
  <c r="D85" i="113"/>
  <c r="D67" i="113"/>
  <c r="D66" i="113" s="1"/>
  <c r="D106" i="113"/>
  <c r="D105" i="113" s="1"/>
  <c r="D62" i="113"/>
  <c r="D88" i="113"/>
  <c r="O211" i="127"/>
  <c r="P211" i="127" s="1"/>
  <c r="Q211" i="127" s="1"/>
  <c r="C210" i="127"/>
  <c r="O7" i="99"/>
  <c r="N7" i="99" s="1"/>
  <c r="G13" i="21"/>
  <c r="G15" i="21" s="1"/>
  <c r="G21" i="21" s="1"/>
  <c r="G20" i="21"/>
  <c r="G22" i="21" s="1"/>
  <c r="O20" i="98"/>
  <c r="P20" i="98" s="1"/>
  <c r="Q20" i="98" s="1"/>
  <c r="B43" i="188"/>
  <c r="B45" i="188" s="1"/>
  <c r="B47" i="188" s="1"/>
  <c r="E26" i="188"/>
  <c r="B28" i="188"/>
  <c r="B29" i="188" s="1"/>
  <c r="D56" i="113"/>
  <c r="G50" i="127"/>
  <c r="G273" i="127" s="1"/>
  <c r="C118" i="127"/>
  <c r="C50" i="127" s="1"/>
  <c r="I50" i="127" s="1"/>
  <c r="O166" i="127"/>
  <c r="P166" i="127" s="1"/>
  <c r="Q166" i="127" s="1"/>
  <c r="C158" i="127"/>
  <c r="D19" i="146"/>
  <c r="F16" i="146"/>
  <c r="K16" i="146"/>
  <c r="L16" i="146" s="1"/>
  <c r="M16" i="146" s="1"/>
  <c r="E50" i="127"/>
  <c r="O242" i="127"/>
  <c r="P242" i="127" s="1"/>
  <c r="Q242" i="127" s="1"/>
  <c r="C241" i="127"/>
  <c r="O241" i="127" s="1"/>
  <c r="P241" i="127" s="1"/>
  <c r="Q241" i="127" s="1"/>
  <c r="D50" i="127"/>
  <c r="G219" i="127"/>
  <c r="O228" i="127"/>
  <c r="P228" i="127" s="1"/>
  <c r="Q228" i="127" s="1"/>
  <c r="C227" i="127"/>
  <c r="C154" i="127"/>
  <c r="O187" i="127"/>
  <c r="P187" i="127" s="1"/>
  <c r="Q187" i="127" s="1"/>
  <c r="C185" i="127"/>
  <c r="C183" i="127" s="1"/>
  <c r="I183" i="127" s="1"/>
  <c r="H20" i="21"/>
  <c r="H22" i="21" s="1"/>
  <c r="H13" i="21"/>
  <c r="H15" i="21" s="1"/>
  <c r="H21" i="21" s="1"/>
  <c r="F15" i="124"/>
  <c r="F35" i="124"/>
  <c r="G35" i="124" s="1"/>
  <c r="D130" i="127"/>
  <c r="D12" i="98"/>
  <c r="O12" i="98"/>
  <c r="C9" i="98"/>
  <c r="D14" i="98" s="1"/>
  <c r="E219" i="127"/>
  <c r="C145" i="127"/>
  <c r="G1" i="174"/>
  <c r="K1" i="21"/>
  <c r="H1" i="7"/>
  <c r="C251" i="127"/>
  <c r="C249" i="127" s="1"/>
  <c r="I249" i="127" s="1"/>
  <c r="O252" i="127"/>
  <c r="P252" i="127" s="1"/>
  <c r="Q252" i="127" s="1"/>
  <c r="O46" i="127"/>
  <c r="P46" i="127" s="1"/>
  <c r="Q46" i="127" s="1"/>
  <c r="C45" i="127"/>
  <c r="O45" i="127" s="1"/>
  <c r="P45" i="127" s="1"/>
  <c r="Q45" i="127" s="1"/>
  <c r="K20" i="21"/>
  <c r="K22" i="21" s="1"/>
  <c r="K13" i="21"/>
  <c r="K15" i="21" s="1"/>
  <c r="K21" i="21" s="1"/>
  <c r="G141" i="99"/>
  <c r="G138" i="99" s="1"/>
  <c r="H138" i="99" s="1"/>
  <c r="D20" i="113"/>
  <c r="C221" i="127"/>
  <c r="G277" i="127" l="1"/>
  <c r="G278" i="127"/>
  <c r="C159" i="97"/>
  <c r="D9" i="31"/>
  <c r="F154" i="97"/>
  <c r="F9" i="146"/>
  <c r="F10" i="146" s="1"/>
  <c r="C156" i="97"/>
  <c r="D156" i="97" s="1"/>
  <c r="D96" i="113"/>
  <c r="F1" i="146"/>
  <c r="E1" i="104"/>
  <c r="G1" i="124" s="1"/>
  <c r="B50" i="188"/>
  <c r="B51" i="188" s="1"/>
  <c r="I8" i="127"/>
  <c r="D88" i="97"/>
  <c r="D86" i="97" s="1"/>
  <c r="D22" i="97"/>
  <c r="D20" i="97" s="1"/>
  <c r="O273" i="127"/>
  <c r="P11" i="127"/>
  <c r="D14" i="97"/>
  <c r="D12" i="97" s="1"/>
  <c r="J8" i="98"/>
  <c r="D18" i="98"/>
  <c r="D19" i="98"/>
  <c r="H10" i="98"/>
  <c r="D13" i="98"/>
  <c r="O10" i="98"/>
  <c r="P10" i="98" s="1"/>
  <c r="Q10" i="98" s="1"/>
  <c r="C25" i="98"/>
  <c r="D16" i="98"/>
  <c r="D17" i="98"/>
  <c r="D15" i="98"/>
  <c r="G10" i="98"/>
  <c r="F10" i="98"/>
  <c r="E10" i="98"/>
  <c r="D20" i="98"/>
  <c r="J9" i="98"/>
  <c r="D78" i="113"/>
  <c r="H145" i="99"/>
  <c r="H316" i="99" s="1"/>
  <c r="G317" i="99"/>
  <c r="E57" i="104"/>
  <c r="E56" i="104"/>
  <c r="D12" i="111"/>
  <c r="C14" i="111"/>
  <c r="E273" i="127"/>
  <c r="K153" i="99"/>
  <c r="B22" i="7"/>
  <c r="F1" i="102"/>
  <c r="C135" i="113"/>
  <c r="C132" i="113"/>
  <c r="D273" i="127"/>
  <c r="D104" i="97"/>
  <c r="D102" i="97" s="1"/>
  <c r="F278" i="127"/>
  <c r="D49" i="113"/>
  <c r="D46" i="113" s="1"/>
  <c r="I20" i="21"/>
  <c r="I22" i="21" s="1"/>
  <c r="I13" i="21"/>
  <c r="I15" i="21" s="1"/>
  <c r="I21" i="21" s="1"/>
  <c r="C130" i="127"/>
  <c r="I130" i="127" s="1"/>
  <c r="D140" i="97"/>
  <c r="D138" i="97" s="1"/>
  <c r="D136" i="97" s="1"/>
  <c r="D55" i="113"/>
  <c r="P12" i="98"/>
  <c r="O9" i="98"/>
  <c r="K19" i="146"/>
  <c r="L19" i="146" s="1"/>
  <c r="M19" i="146" s="1"/>
  <c r="F19" i="146"/>
  <c r="D22" i="146"/>
  <c r="D25" i="146"/>
  <c r="D20" i="21"/>
  <c r="D22" i="21" s="1"/>
  <c r="D13" i="21"/>
  <c r="D15" i="21" s="1"/>
  <c r="D21" i="21" s="1"/>
  <c r="D128" i="97"/>
  <c r="D126" i="97" s="1"/>
  <c r="D116" i="97" s="1"/>
  <c r="C219" i="127"/>
  <c r="I219" i="127" s="1"/>
  <c r="D68" i="97"/>
  <c r="D52" i="97" s="1"/>
  <c r="D46" i="97" s="1"/>
  <c r="D43" i="97" s="1"/>
  <c r="O11" i="98" l="1"/>
  <c r="I277" i="127"/>
  <c r="P9" i="98"/>
  <c r="P11" i="98" s="1"/>
  <c r="Q12" i="98"/>
  <c r="Q9" i="98" s="1"/>
  <c r="Q11" i="98" s="1"/>
  <c r="C273" i="127"/>
  <c r="H319" i="99"/>
  <c r="H317" i="99"/>
  <c r="D9" i="97"/>
  <c r="D150" i="97" s="1"/>
  <c r="C27" i="31"/>
  <c r="D11" i="31"/>
  <c r="C14" i="31"/>
  <c r="E278" i="127"/>
  <c r="E274" i="127"/>
  <c r="F25" i="146"/>
  <c r="K25" i="146"/>
  <c r="L25" i="146" s="1"/>
  <c r="M25" i="146" s="1"/>
  <c r="D274" i="127"/>
  <c r="D278" i="127"/>
  <c r="Q11" i="127"/>
  <c r="Q273" i="127" s="1"/>
  <c r="P273" i="127"/>
  <c r="C10" i="98"/>
  <c r="K22" i="146"/>
  <c r="L22" i="146" s="1"/>
  <c r="M22" i="146" s="1"/>
  <c r="F22" i="146"/>
  <c r="C1" i="111"/>
  <c r="D1" i="31" s="1"/>
  <c r="C1" i="109"/>
  <c r="F29" i="146" l="1"/>
  <c r="O274" i="127"/>
  <c r="C279" i="127"/>
  <c r="C278" i="127"/>
  <c r="G274" i="127"/>
  <c r="F274" i="127"/>
  <c r="C274" i="127" s="1"/>
  <c r="P274" i="127" l="1"/>
  <c r="O275" i="127"/>
  <c r="Q274" i="127" l="1"/>
  <c r="Q275" i="127" s="1"/>
  <c r="P275" i="1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Flor de María Alfaro</author>
    <author>Tita y Tio</author>
  </authors>
  <commentList>
    <comment ref="A6" authorId="0" shapeId="0" xr:uid="{A67FAF25-A609-4F47-ABBA-68D02006E29A}">
      <text>
        <r>
          <rPr>
            <sz val="8"/>
            <color indexed="81"/>
            <rFont val="Tahoma"/>
            <family val="2"/>
          </rPr>
          <t xml:space="preserve">Debe incluirse el nombre del ingreso específico o parcialmente específico.  Ejemplo: Impuesto de bienes inmuebles, Ley 7729. Servicio recolección de basura. Servicio de aseo de vías. Alquiler milla marítima.  Patente de Licores, etc.
Código asignado al ingreso en el clasificador de ingresos del sector público, así como el código asignado a las cuentas personalizadas en el Sistema Integrado de Presupuesto Público de la CGR.  Como por ejemplo: Servicio de recolección de basura 
1.3.1.2.05.04.1.0.000
</t>
        </r>
      </text>
    </comment>
    <comment ref="B6" authorId="0" shapeId="0" xr:uid="{147B450C-6DC1-4139-878C-3E88B070BFF3}">
      <text>
        <r>
          <rPr>
            <sz val="8"/>
            <color indexed="81"/>
            <rFont val="Tahoma"/>
            <family val="2"/>
          </rPr>
          <t xml:space="preserve">Monto presupuestado en el PO-2006
</t>
        </r>
      </text>
    </comment>
    <comment ref="C7" authorId="1" shapeId="0" xr:uid="{75F2ADEE-DF66-4324-AE8D-4635C3D273B0}">
      <text>
        <r>
          <rPr>
            <sz val="8"/>
            <color indexed="81"/>
            <rFont val="Tahoma"/>
            <family val="2"/>
          </rPr>
          <t>PROGRAMA:
I-II-III-IV</t>
        </r>
      </text>
    </comment>
    <comment ref="D7" authorId="1" shapeId="0" xr:uid="{DF6700BD-F2BE-4EAB-89DD-6626F13E73AF}">
      <text>
        <r>
          <rPr>
            <sz val="10"/>
            <color indexed="81"/>
            <rFont val="Tahoma"/>
            <family val="2"/>
          </rPr>
          <t>ACTIVIDAD (PROGRAMA I) / SERVICIO (PROGRAMA II) / GRUPO (PROGRAMAS III Y IV)</t>
        </r>
      </text>
    </comment>
    <comment ref="E7" authorId="1" shapeId="0" xr:uid="{15181C21-D9E1-47F5-8983-BFF53961131E}">
      <text>
        <r>
          <rPr>
            <sz val="10"/>
            <color indexed="81"/>
            <rFont val="Tahoma"/>
            <family val="2"/>
          </rPr>
          <t>PROYECTO (PROGRAMAS III Y IV)</t>
        </r>
      </text>
    </comment>
    <comment ref="F7" authorId="0" shapeId="0" xr:uid="{76A25288-9BC0-4FA3-A7E1-23B705644811}">
      <text>
        <r>
          <rPr>
            <b/>
            <u/>
            <sz val="9"/>
            <color indexed="81"/>
            <rFont val="Tahoma"/>
            <family val="2"/>
          </rPr>
          <t xml:space="preserve">¿Qué información se incluye en la columna aplicación?
</t>
        </r>
        <r>
          <rPr>
            <sz val="9"/>
            <color indexed="81"/>
            <rFont val="Tahoma"/>
            <family val="2"/>
          </rPr>
          <t xml:space="preserve">Se incluye el nombre del gasto presupuestado de la siguiente manera:
</t>
        </r>
        <r>
          <rPr>
            <b/>
            <sz val="9"/>
            <color indexed="81"/>
            <rFont val="Tahoma"/>
            <family val="2"/>
          </rPr>
          <t>Si es un gasto del Programa I:</t>
        </r>
        <r>
          <rPr>
            <sz val="9"/>
            <color indexed="81"/>
            <rFont val="Tahoma"/>
            <family val="2"/>
          </rPr>
          <t xml:space="preserve">
  Administración General
  Auditoría Interna
  Administración de inversiones propias
  Registro de deudas, fondos y aportes:
    - Amortización préstamo edificio Municipal
    - Nombre del beneficiario (si es una transferencia)
    - Cuenta especial: (nombre)
</t>
        </r>
        <r>
          <rPr>
            <b/>
            <sz val="9"/>
            <color indexed="81"/>
            <rFont val="Tahoma"/>
            <family val="2"/>
          </rPr>
          <t>Si es un gasto del Programa II:</t>
        </r>
        <r>
          <rPr>
            <sz val="9"/>
            <color indexed="81"/>
            <rFont val="Tahoma"/>
            <family val="2"/>
          </rPr>
          <t xml:space="preserve">
  Nombre del servicio.
</t>
        </r>
        <r>
          <rPr>
            <b/>
            <sz val="9"/>
            <color indexed="81"/>
            <rFont val="Tahoma"/>
            <family val="2"/>
          </rPr>
          <t>Si es un gasto del Programa III o IV:</t>
        </r>
        <r>
          <rPr>
            <sz val="9"/>
            <color indexed="81"/>
            <rFont val="Tahoma"/>
            <family val="2"/>
          </rPr>
          <t xml:space="preserve">
  Nombre del proyecto (recordar que corresponde a lo que anteriormente se denominaba obra)
  Nombre del beneficiario (si es una transferencia)
  Cuenta especial: (nombre)
  Otros fondos e inversiones especificar el objeto del gasto.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A5" authorId="0" shapeId="0" xr:uid="{4CBB0B86-D1ED-4437-8A8A-3A08CABC2F9B}">
      <text>
        <r>
          <rPr>
            <b/>
            <sz val="10"/>
            <color indexed="9"/>
            <rFont val="Tahoma"/>
            <family val="2"/>
          </rPr>
          <t xml:space="preserve">ESTA INFORMACIÓN ES LA MISMA QUE ESTÁ EN EL MODELO ELECTRÓNICO DEL PLAN OPERATIVO ANUAL
</t>
        </r>
      </text>
    </comment>
    <comment ref="B7" authorId="0" shapeId="0" xr:uid="{9A58AD27-8046-4F17-AE4D-21B0A4FBD779}">
      <text>
        <r>
          <rPr>
            <b/>
            <sz val="8"/>
            <color indexed="81"/>
            <rFont val="Tahoma"/>
            <family val="2"/>
          </rPr>
          <t>Número de plazas</t>
        </r>
      </text>
    </comment>
    <comment ref="C7" authorId="0" shapeId="0" xr:uid="{D670CBE6-5E46-4D04-AC8A-6821E5B88A94}">
      <text>
        <r>
          <rPr>
            <b/>
            <sz val="8"/>
            <color indexed="81"/>
            <rFont val="Tahoma"/>
            <family val="2"/>
          </rPr>
          <t>Número de plazas</t>
        </r>
      </text>
    </comment>
    <comment ref="D7" authorId="0" shapeId="0" xr:uid="{6BD1A106-656A-41EC-A6AD-EA813357758F}">
      <text>
        <r>
          <rPr>
            <b/>
            <sz val="8"/>
            <color indexed="81"/>
            <rFont val="Tahoma"/>
            <family val="2"/>
          </rPr>
          <t>Tiene que ser "0"</t>
        </r>
      </text>
    </comment>
    <comment ref="E7" authorId="0" shapeId="0" xr:uid="{29BF20B1-A9FD-40A8-993D-B3B28CCE4847}">
      <text>
        <r>
          <rPr>
            <b/>
            <sz val="8"/>
            <color indexed="81"/>
            <rFont val="Tahoma"/>
            <family val="2"/>
          </rPr>
          <t>Número de plazas</t>
        </r>
      </text>
    </comment>
    <comment ref="F7" authorId="0" shapeId="0" xr:uid="{674644DF-C0DB-4297-9DC2-7909A2226E69}">
      <text>
        <r>
          <rPr>
            <b/>
            <sz val="8"/>
            <color indexed="81"/>
            <rFont val="Tahoma"/>
            <family val="2"/>
          </rPr>
          <t>Número de plazas</t>
        </r>
      </text>
    </comment>
    <comment ref="G7" authorId="0" shapeId="0" xr:uid="{B85F5CDA-BD1B-49AA-B089-7E98F69173FD}">
      <text>
        <r>
          <rPr>
            <b/>
            <sz val="8"/>
            <color indexed="81"/>
            <rFont val="Tahoma"/>
            <family val="2"/>
          </rPr>
          <t>Número de plazas</t>
        </r>
      </text>
    </comment>
    <comment ref="H7" authorId="0" shapeId="0" xr:uid="{25FDC90C-E4A3-4DC6-A94D-F388755E41CB}">
      <text>
        <r>
          <rPr>
            <b/>
            <sz val="8"/>
            <color indexed="81"/>
            <rFont val="Tahoma"/>
            <family val="2"/>
          </rPr>
          <t>Número de plazas</t>
        </r>
      </text>
    </comment>
    <comment ref="J7" authorId="0" shapeId="0" xr:uid="{B5AB84A0-F9BA-4421-B8BE-E7CD282C92C1}">
      <text>
        <r>
          <rPr>
            <b/>
            <sz val="8"/>
            <color indexed="81"/>
            <rFont val="Tahoma"/>
            <family val="2"/>
          </rPr>
          <t>Número de plazas</t>
        </r>
      </text>
    </comment>
    <comment ref="K7" authorId="0" shapeId="0" xr:uid="{B39C6D6E-FE35-4CF8-98CD-4B190A536C33}">
      <text>
        <r>
          <rPr>
            <b/>
            <sz val="8"/>
            <color indexed="81"/>
            <rFont val="Tahoma"/>
            <family val="2"/>
          </rPr>
          <t>Número de plazas</t>
        </r>
      </text>
    </comment>
    <comment ref="M7" authorId="0" shapeId="0" xr:uid="{A8DD6F2C-6F3D-4E01-B1E0-C1020AF09FE5}">
      <text>
        <r>
          <rPr>
            <b/>
            <sz val="8"/>
            <color indexed="81"/>
            <rFont val="Tahoma"/>
            <family val="2"/>
          </rPr>
          <t>Tiene que ser "0"</t>
        </r>
        <r>
          <rPr>
            <sz val="8"/>
            <color indexed="81"/>
            <rFont val="Tahoma"/>
            <family val="2"/>
          </rPr>
          <t xml:space="preserve">
</t>
        </r>
      </text>
    </comment>
    <comment ref="N7" authorId="0" shapeId="0" xr:uid="{6F24CC0A-FAC1-4B25-8BB7-7139C51D08AE}">
      <text>
        <r>
          <rPr>
            <b/>
            <sz val="8"/>
            <color indexed="81"/>
            <rFont val="Tahoma"/>
            <family val="2"/>
          </rPr>
          <t>Número de plazas</t>
        </r>
      </text>
    </comment>
    <comment ref="O7" authorId="0" shapeId="0" xr:uid="{69E1520C-45F5-42B1-AC73-2A04BC5F269B}">
      <text>
        <r>
          <rPr>
            <b/>
            <sz val="8"/>
            <color indexed="81"/>
            <rFont val="Tahoma"/>
            <family val="2"/>
          </rPr>
          <t>Número de plazas</t>
        </r>
      </text>
    </comment>
    <comment ref="P7" authorId="0" shapeId="0" xr:uid="{F517D9BE-D8BE-42C5-9DDB-4C55AC828DFB}">
      <text>
        <r>
          <rPr>
            <b/>
            <sz val="8"/>
            <color indexed="81"/>
            <rFont val="Tahoma"/>
            <family val="2"/>
          </rPr>
          <t>Número de plazas</t>
        </r>
      </text>
    </comment>
    <comment ref="Q7" authorId="0" shapeId="0" xr:uid="{1293A27D-0F7D-4F7A-B04A-D23F4C3DF58F}">
      <text>
        <r>
          <rPr>
            <b/>
            <sz val="8"/>
            <color indexed="81"/>
            <rFont val="Tahoma"/>
            <family val="2"/>
          </rPr>
          <t>Número de plazas</t>
        </r>
      </text>
    </comment>
    <comment ref="K8" authorId="0" shapeId="0" xr:uid="{5400402C-4BA2-4F2F-A095-E7A3B6BE305F}">
      <text>
        <r>
          <rPr>
            <b/>
            <sz val="8"/>
            <color indexed="81"/>
            <rFont val="Tahoma"/>
            <family val="2"/>
          </rPr>
          <t>ARTÍCULO 118 DEL CÓDIGO MUNICIPAL</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D22" authorId="0" shapeId="0" xr:uid="{8641C6E5-715B-4A4F-A3CC-992A3BDCB84B}">
      <text>
        <r>
          <rPr>
            <b/>
            <sz val="8"/>
            <color indexed="81"/>
            <rFont val="Tahoma"/>
            <family val="2"/>
          </rPr>
          <t>Incluido en el Grupo: "Intereses sobre préstamos" de la partida 3 Intereses y comisiones.</t>
        </r>
        <r>
          <rPr>
            <sz val="8"/>
            <color indexed="81"/>
            <rFont val="Tahoma"/>
            <family val="2"/>
          </rPr>
          <t xml:space="preserve">
</t>
        </r>
      </text>
    </comment>
    <comment ref="E22" authorId="0" shapeId="0" xr:uid="{2FAA54A2-05C1-4475-BEBD-A0D3E38DF48C}">
      <text>
        <r>
          <rPr>
            <b/>
            <sz val="8"/>
            <color indexed="81"/>
            <rFont val="Tahoma"/>
            <family val="2"/>
          </rPr>
          <t>Incluido en el Grupo: "Amortización de préstamos" de la partida 8 Amortización.</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F5" authorId="0" shapeId="0" xr:uid="{3FF7B841-A534-43C1-80A3-A994B487E8C4}">
      <text>
        <r>
          <rPr>
            <sz val="8"/>
            <color indexed="81"/>
            <rFont val="Tahoma"/>
            <family val="2"/>
          </rPr>
          <t xml:space="preserve">NO REMITIR RENGLONES SIN DATOS.
</t>
        </r>
      </text>
    </comment>
    <comment ref="B10" authorId="0" shapeId="0" xr:uid="{23F8CC84-3DCA-46A2-A083-1369885D8A3C}">
      <text>
        <r>
          <rPr>
            <sz val="8"/>
            <color indexed="81"/>
            <rFont val="Tahoma"/>
            <family val="2"/>
          </rPr>
          <t xml:space="preserve">Nombre completo de la entidad beneficiada (sin abreviaciones)
</t>
        </r>
      </text>
    </comment>
    <comment ref="B13" authorId="0" shapeId="0" xr:uid="{D7331641-E1F4-4CCE-9389-44B0E95D9833}">
      <text>
        <r>
          <rPr>
            <sz val="8"/>
            <color indexed="81"/>
            <rFont val="Tahoma"/>
            <family val="2"/>
          </rPr>
          <t xml:space="preserve">Nombre completo de la entidad beneficiada (sin abreviaciones)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CaBla</author>
  </authors>
  <commentList>
    <comment ref="E29" authorId="0" shapeId="0" xr:uid="{768958B3-D430-4D8A-B095-C133CA1666C7}">
      <text>
        <r>
          <rPr>
            <b/>
            <sz val="8"/>
            <color indexed="81"/>
            <rFont val="Tahoma"/>
            <family val="2"/>
          </rPr>
          <t xml:space="preserve">se rebaja del monto total asignado al servicio, el fondo sin asignación presupuestaria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Lorena Valverde Rivera</author>
  </authors>
  <commentList>
    <comment ref="D46" authorId="0" shapeId="0" xr:uid="{4202CA7E-C6F1-4DD3-AE2B-3DAEE27F0FE7}">
      <text>
        <r>
          <rPr>
            <b/>
            <sz val="9"/>
            <color indexed="81"/>
            <rFont val="Tahoma"/>
            <family val="2"/>
          </rPr>
          <t>Lorena Valverde Rivera:</t>
        </r>
        <r>
          <rPr>
            <sz val="9"/>
            <color indexed="81"/>
            <rFont val="Tahoma"/>
            <family val="2"/>
          </rPr>
          <t xml:space="preserve">
Van a corregir el nombre del proyecto para equipamiento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Flor de María Alfaro</author>
  </authors>
  <commentList>
    <comment ref="C34" authorId="0" shapeId="0" xr:uid="{7DE51620-05A4-4BAF-91A4-37CD855436FC}">
      <text>
        <r>
          <rPr>
            <sz val="11"/>
            <color indexed="81"/>
            <rFont val="Tahoma"/>
            <family val="2"/>
          </rPr>
          <t>Incluido el monto que se le cancela a los Alcaldes pensionados (50% de la pensión).  Esta afecta a las cargas sociales (seguro únicamente)</t>
        </r>
      </text>
    </comment>
  </commentList>
</comments>
</file>

<file path=xl/sharedStrings.xml><?xml version="1.0" encoding="utf-8"?>
<sst xmlns="http://schemas.openxmlformats.org/spreadsheetml/2006/main" count="2678" uniqueCount="1643">
  <si>
    <t>Detalle de Egresos Programa I Dirección y Administración Generales.........</t>
  </si>
  <si>
    <t>Detalle de Egresos Programa III Inversión....................................................</t>
  </si>
  <si>
    <t>Anexo 1:   Relación Ingreso-Gasto en los Servicios Públicos....................................................................................</t>
  </si>
  <si>
    <t>Anexo 3:   Cálculo de Dietas a Regidores y Síndicos...................................</t>
  </si>
  <si>
    <t>Anexo 5:   Gastos de Información y Publicidad..........................................</t>
  </si>
  <si>
    <t>Anexo 9:   Gastos Generales de Administración..........................................</t>
  </si>
  <si>
    <t>ESTIMACIÓN DE INGRESOS .......................................................................</t>
  </si>
  <si>
    <t>JUSTIFICACIÓN DE INGRESOS...................................................................</t>
  </si>
  <si>
    <t>5.02.01</t>
  </si>
  <si>
    <t>Edificios</t>
  </si>
  <si>
    <t>Dietas por Comisión</t>
  </si>
  <si>
    <t>JUSTIFICACIÓN DE EGRESOS...................................................................</t>
  </si>
  <si>
    <t>ESTIMACIÓN DE INGRESOS</t>
  </si>
  <si>
    <t>SECCIÓN DE EGRESOS</t>
  </si>
  <si>
    <t xml:space="preserve">AMORTIZACIÓN </t>
  </si>
  <si>
    <t>CALCULO DE LAS DIETAS A REGIDORES Y SÍNDICOS</t>
  </si>
  <si>
    <t>SÍNDICOS</t>
  </si>
  <si>
    <t>Elaborado  por:</t>
  </si>
  <si>
    <t>2.99.07</t>
  </si>
  <si>
    <t>Útiles y materiales de cocina y comedor</t>
  </si>
  <si>
    <t>CUADRO No. 5</t>
  </si>
  <si>
    <t>Código de gasto</t>
  </si>
  <si>
    <t>NOMBRE DEL BENEFICIARIO CLASIFICADO SEGÚN PARTIDA Y GRUPO DE EGRESOS</t>
  </si>
  <si>
    <t>Cédula Jurídica (entidad privada)</t>
  </si>
  <si>
    <t>FUNDAMENTO LEGAL</t>
  </si>
  <si>
    <t>FINALIDAD DE LA TRANSFERENCIA</t>
  </si>
  <si>
    <t>TRANSFERENCIAS CORRIENTES A ENTIDADES PRIVADAS SIN FINES DE LUCRO</t>
  </si>
  <si>
    <t>7.03</t>
  </si>
  <si>
    <t>TRANSFERENCIAS DE CAPITAL A ENTIDADES PRIVADAS SIN FINES DE LUCRO</t>
  </si>
  <si>
    <t>Asociación Escuela de Música Sinfónica de Pérez Zeledón</t>
  </si>
  <si>
    <t>dieta anterior</t>
  </si>
  <si>
    <t>Monto dieta</t>
  </si>
  <si>
    <t>Municipalidad de Pérez Zeledón</t>
  </si>
  <si>
    <t>PRESUPUESTO ORDINARIO</t>
  </si>
  <si>
    <t>TABLA DE CONTENIDOS</t>
  </si>
  <si>
    <t>CONTENIDOS</t>
  </si>
  <si>
    <t>PAGINA</t>
  </si>
  <si>
    <t>4</t>
  </si>
  <si>
    <t>5</t>
  </si>
  <si>
    <t>7</t>
  </si>
  <si>
    <t>TOTAL</t>
  </si>
  <si>
    <t>01</t>
  </si>
  <si>
    <t>INGRESOS CORRIENTES</t>
  </si>
  <si>
    <t>INGRESOS TRIBUTARIOS</t>
  </si>
  <si>
    <t>04</t>
  </si>
  <si>
    <t>02</t>
  </si>
  <si>
    <t>09</t>
  </si>
  <si>
    <t>06</t>
  </si>
  <si>
    <t>Timbres de parques nacionales</t>
  </si>
  <si>
    <t>INGRESOS NO TRIBUTARIOS</t>
  </si>
  <si>
    <t>Venta de otros bienes</t>
  </si>
  <si>
    <t>Servicio de cementerio</t>
  </si>
  <si>
    <t>TRANSFERENCIAS CORRIENTES</t>
  </si>
  <si>
    <t>INGRESOS DE CAPITAL</t>
  </si>
  <si>
    <t>TRANSFERENCIAS DE CAPITAL</t>
  </si>
  <si>
    <t>TOTAL INGRESOS ESTIMADOS</t>
  </si>
  <si>
    <t>II</t>
  </si>
  <si>
    <t>Decimotercer mes</t>
  </si>
  <si>
    <t>MATERIALES Y SUMINISTROS</t>
  </si>
  <si>
    <t>Prestaciones legales</t>
  </si>
  <si>
    <t>DETALLE GENERAL DE EGRESOS</t>
  </si>
  <si>
    <t>PARTIDA / SUBPARTIDA</t>
  </si>
  <si>
    <t>%</t>
  </si>
  <si>
    <t>TOTAL GENERAL</t>
  </si>
  <si>
    <t>SERVICIO</t>
  </si>
  <si>
    <t>I</t>
  </si>
  <si>
    <t>III</t>
  </si>
  <si>
    <t>DETALLE</t>
  </si>
  <si>
    <t>INTERESES</t>
  </si>
  <si>
    <t>Dietas</t>
  </si>
  <si>
    <t>Servicios especiales</t>
  </si>
  <si>
    <t>Recolección de basura</t>
  </si>
  <si>
    <t>Cementerio</t>
  </si>
  <si>
    <t>Mercado</t>
  </si>
  <si>
    <t>Estacionó metros</t>
  </si>
  <si>
    <t>Terminal</t>
  </si>
  <si>
    <t>Detalle</t>
  </si>
  <si>
    <t>1</t>
  </si>
  <si>
    <t>Ingreso estimado según tasa</t>
  </si>
  <si>
    <t>2</t>
  </si>
  <si>
    <t>Egreso de operación del servicio (Renglón 6 del cuadro sig.)</t>
  </si>
  <si>
    <t>3</t>
  </si>
  <si>
    <t>Sobrante ingreso por tasa, una vez financiado el serv. (1-2)</t>
  </si>
  <si>
    <t>Otros ingresos relacionados con el servicio</t>
  </si>
  <si>
    <t>Total de ingresos disponibles para inversión (3+4)</t>
  </si>
  <si>
    <t>6</t>
  </si>
  <si>
    <t>Proyectos (Prog.III)</t>
  </si>
  <si>
    <t>GASTO TOTAL SERVICIO</t>
  </si>
  <si>
    <t>8</t>
  </si>
  <si>
    <t>Superávit o déficit total del servicio (5-6)</t>
  </si>
  <si>
    <t>9</t>
  </si>
  <si>
    <t>% de gasto cubiertos con ingresos del servi.(1+4)/ 7</t>
  </si>
  <si>
    <t>EGRESOS DE OPERACIÓN DEL SERVICIO</t>
  </si>
  <si>
    <t>Sub total (2)</t>
  </si>
  <si>
    <t>10% gastos de administr. (A)</t>
  </si>
  <si>
    <t>Egresos operación del servicio (4+5)  (B)</t>
  </si>
  <si>
    <t>A-</t>
  </si>
  <si>
    <t>B-</t>
  </si>
  <si>
    <t>MONTO</t>
  </si>
  <si>
    <t>Límite para gastos Administración</t>
  </si>
  <si>
    <t xml:space="preserve">Elaborado por: </t>
  </si>
  <si>
    <t>(40% de los ingresos ordinarios art.93 C.M..)</t>
  </si>
  <si>
    <t xml:space="preserve">Gastos de administración aplicados </t>
  </si>
  <si>
    <t>Detalle de la aplicación:</t>
  </si>
  <si>
    <t xml:space="preserve">PROGRAMA </t>
  </si>
  <si>
    <t xml:space="preserve"> MONTO</t>
  </si>
  <si>
    <t xml:space="preserve">TOTAL     </t>
  </si>
  <si>
    <t>Recargo de funciones</t>
  </si>
  <si>
    <t>Matadero</t>
  </si>
  <si>
    <t>Este resultado debe trasladarse al renglón 2 del cuadro "Relación Ingreso-Gasto en los servicios públicos".</t>
  </si>
  <si>
    <t>MUNICIPALIDAD DE PÉREZ ZELEDÓN</t>
  </si>
  <si>
    <t>AMORTIZACIÓN</t>
  </si>
  <si>
    <t>GASTOS GENERALES DE ADMINISTRACIÓN</t>
  </si>
  <si>
    <t>RELACIÓN INGRESO - GASTO EN LOS SERVICIOS PÚBLICOS</t>
  </si>
  <si>
    <t>Espectáculos públicos 6%</t>
  </si>
  <si>
    <t>50,5% patentes licores nacionales y extranjeros</t>
  </si>
  <si>
    <t>Aporte Consejo Seguridad Vial</t>
  </si>
  <si>
    <t>Recursos ley simplificación tributaria</t>
  </si>
  <si>
    <t>50,5% Ap. IFAM licores nacionales y extranjeros</t>
  </si>
  <si>
    <t>Multas infracción ley de parquímetros</t>
  </si>
  <si>
    <t>DIFERENCIA</t>
  </si>
  <si>
    <t>% asignado</t>
  </si>
  <si>
    <t>II-1</t>
  </si>
  <si>
    <t>II-4</t>
  </si>
  <si>
    <t>Firma funcionario responsable:</t>
  </si>
  <si>
    <t>CUADRO No. 2</t>
  </si>
  <si>
    <t>Estructura organizacional (Recursos Humanos)</t>
  </si>
  <si>
    <t>Procesos sustantivos</t>
  </si>
  <si>
    <t>Por programa</t>
  </si>
  <si>
    <t>Apoyo</t>
  </si>
  <si>
    <t xml:space="preserve">Nivel </t>
  </si>
  <si>
    <t>Sueldos para cargos fijos</t>
  </si>
  <si>
    <t>Diferencia</t>
  </si>
  <si>
    <t>Puestos de confianza</t>
  </si>
  <si>
    <t>Otros</t>
  </si>
  <si>
    <t>Nivel superior ejecutivo</t>
  </si>
  <si>
    <t>Profesional</t>
  </si>
  <si>
    <t>Técnico</t>
  </si>
  <si>
    <t>Administrativo</t>
  </si>
  <si>
    <t>De servicio</t>
  </si>
  <si>
    <t>Total</t>
  </si>
  <si>
    <t>RESUMEN:</t>
  </si>
  <si>
    <t>RESUMEN POR PROGRAMA:</t>
  </si>
  <si>
    <t>Plazas en sueldos para cargos fijos</t>
  </si>
  <si>
    <t>Programa I: Dirección y Administración General</t>
  </si>
  <si>
    <t>Plazas en servicios especiales</t>
  </si>
  <si>
    <t>Programa II: Servicios Comunitarios</t>
  </si>
  <si>
    <t>Plazas en procesos sustantivos</t>
  </si>
  <si>
    <t>Programa III: Inversiones</t>
  </si>
  <si>
    <t>Plazas en procesos de apoyo</t>
  </si>
  <si>
    <t>Programa IV: Partidas específicas</t>
  </si>
  <si>
    <t>Total de plazas</t>
  </si>
  <si>
    <t>3. Observaciones.</t>
  </si>
  <si>
    <r>
      <t xml:space="preserve">Elaborado por: </t>
    </r>
    <r>
      <rPr>
        <sz val="10"/>
        <rFont val="Times New Roman"/>
        <family val="1"/>
      </rPr>
      <t/>
    </r>
  </si>
  <si>
    <t>Parques</t>
  </si>
  <si>
    <t>II-7</t>
  </si>
  <si>
    <t>II-8</t>
  </si>
  <si>
    <t>Consejo Nacional de Rehabilitación</t>
  </si>
  <si>
    <t>Comité Cantonal de Deportes</t>
  </si>
  <si>
    <t>IFAM</t>
  </si>
  <si>
    <t>BCR</t>
  </si>
  <si>
    <t>ANUAL</t>
  </si>
  <si>
    <t>11</t>
  </si>
  <si>
    <t>PROPUESTA</t>
  </si>
  <si>
    <t>POR AÑO</t>
  </si>
  <si>
    <t>REGIDORES</t>
  </si>
  <si>
    <t>PROPIETARIOS</t>
  </si>
  <si>
    <t>SUPLENTES</t>
  </si>
  <si>
    <t>Venta de otros servicios</t>
  </si>
  <si>
    <t>1.0.0.0.00.00.0.0.000</t>
  </si>
  <si>
    <t>1.1.0.0.00.00.0.0.000</t>
  </si>
  <si>
    <t>1.1.2.0.00.00.0.0.000</t>
  </si>
  <si>
    <t>IMPUESTOS SOBRE LA PROPIEDAD</t>
  </si>
  <si>
    <t>1.1.2.1.00.00.0.0.000</t>
  </si>
  <si>
    <t>Impuesto sobre la propiedad de bienes inmuebles</t>
  </si>
  <si>
    <t>1.1.2.3.00.00.0.0.000</t>
  </si>
  <si>
    <t>Impuesto sobre el patrimonio</t>
  </si>
  <si>
    <t>1.1.2.4.00.00.0.0.000</t>
  </si>
  <si>
    <t>Impuesto sobre los traspasos de bienes inmuebles</t>
  </si>
  <si>
    <t>1.1.3.0.00.00.0.0.000</t>
  </si>
  <si>
    <t>IMPUESTOS SOBRE BIENES Y SERVICIOS</t>
  </si>
  <si>
    <t>1.1.3.2.00.00.0.0.000</t>
  </si>
  <si>
    <t>IMPUESTOS ESPECÍFICOS SOBRE LA PRODUCCIÓN Y CONSUMO DE BIENES Y SERVICIOS</t>
  </si>
  <si>
    <t>1.1.3.2.01.00.0.0.000</t>
  </si>
  <si>
    <t>IMPUESTOS ESPECÍFICOS SOBRE LA PRODUCCIÓN Y CONSUMO DE BIENES</t>
  </si>
  <si>
    <t>1.1.3.2.01.05.0.0.000</t>
  </si>
  <si>
    <t>Impuestos específicos sobre la construcción</t>
  </si>
  <si>
    <t>1.1.3.2.02.00.0.0.000</t>
  </si>
  <si>
    <t>IMPUESTOS ESPECÍFICOS SOBRE LA PRODUCCIÓN Y CONSUMO DE SERVICIOS</t>
  </si>
  <si>
    <t>1.1.3.2.02.03.0.0.000</t>
  </si>
  <si>
    <t>Impuestos específicos a los servicios de diversión y esparcimiento</t>
  </si>
  <si>
    <t>1.1.3.3.00.00.0.0.000</t>
  </si>
  <si>
    <t>OTROS IMPUESTOS A LOS BIENES Y SERVICIOS</t>
  </si>
  <si>
    <t>1.1.3.3.01.00.0.0.000</t>
  </si>
  <si>
    <t>Licencias profesionales comerciales y otros permisos</t>
  </si>
  <si>
    <t>1.1.9.0.00.00.0.0.000</t>
  </si>
  <si>
    <t>OTROS INGRESOS TRIBUTARIOS</t>
  </si>
  <si>
    <t>1.1.9.1.00.00.0.0.000</t>
  </si>
  <si>
    <t>Impuesto de Timbres</t>
  </si>
  <si>
    <t>1.3.0.0.00.00.0.0.000</t>
  </si>
  <si>
    <t>1.3.1.0.00.00.0.0.000</t>
  </si>
  <si>
    <t>VENTA DE BIENES Y SERVICIOS</t>
  </si>
  <si>
    <t>1.3.1.1.00.00.0.0.000</t>
  </si>
  <si>
    <t>VENTA DE BIENES</t>
  </si>
  <si>
    <t>1.3.1.1.09.00.0.0.000</t>
  </si>
  <si>
    <t>1.3.1.2.00.00.0.0.000</t>
  </si>
  <si>
    <t>VENTA DE SERVICIOS</t>
  </si>
  <si>
    <t>1.3.1.2.04.00.0.0.000</t>
  </si>
  <si>
    <t>ALQUILERES</t>
  </si>
  <si>
    <t>1.3.1.2.04.01.0.0.000</t>
  </si>
  <si>
    <t>Alquiler de edificios e instalaciones</t>
  </si>
  <si>
    <t>1.3.1.2.05.00.0.0.000</t>
  </si>
  <si>
    <t>SERVICIOS COMUNITARIOS</t>
  </si>
  <si>
    <t>1.3.1.2.05.03.0.0.000</t>
  </si>
  <si>
    <t>1.3.1.2.05.04.0.0.000</t>
  </si>
  <si>
    <t>Servicios de saneamiento ambiental</t>
  </si>
  <si>
    <t>1.3.1.2.05.09.0.0.000</t>
  </si>
  <si>
    <t>Otros servicios comunitarios</t>
  </si>
  <si>
    <t>1.3.1.2.09.00.0.0.000</t>
  </si>
  <si>
    <t>OTROS SERVICIOS</t>
  </si>
  <si>
    <t>1.3.1.2.09.09.0.0.000</t>
  </si>
  <si>
    <t>1.3.1.3.00.00.0.0.000</t>
  </si>
  <si>
    <t>DERECHOS ADMINISTRATIV0S</t>
  </si>
  <si>
    <t>1.3.1.3.01.00.0.0.000</t>
  </si>
  <si>
    <t>DERECHOS ADMINISTRATIVOS A LOS SERVICIOS DE TRANSPORTE</t>
  </si>
  <si>
    <t>1.3.1.3.01.01.0.0.000</t>
  </si>
  <si>
    <t>Derechos administrativos a los servicios de transporte por carretera</t>
  </si>
  <si>
    <t>1.3.3.0.00.00.0.0.000</t>
  </si>
  <si>
    <t>MULTAS, SANCIONES, REMATES Y CONFISCACIONES</t>
  </si>
  <si>
    <t>1.3.3.1.00.00.0.0.000</t>
  </si>
  <si>
    <t>MULTAS Y SANCIONES</t>
  </si>
  <si>
    <t>1.3.3.1.01.00.0.0.000</t>
  </si>
  <si>
    <t>Multas de tránsito</t>
  </si>
  <si>
    <t>1.3.3.1.02.00.0.0.000</t>
  </si>
  <si>
    <t>Multas por atraso en pago de impuestos</t>
  </si>
  <si>
    <t>1.3.3.1.09.00.0.0.000</t>
  </si>
  <si>
    <t>Otras multas</t>
  </si>
  <si>
    <t>1.3.4.0.00.00.0.0.000</t>
  </si>
  <si>
    <t>INTERESES MORATORIOS</t>
  </si>
  <si>
    <t>1.3.4.1.00.00.0.0.000</t>
  </si>
  <si>
    <t>Intereses moratorios por atraso en pago de impuesto</t>
  </si>
  <si>
    <t>1.3.4.2.00.00.0.0.000</t>
  </si>
  <si>
    <t>Intereses moratorios por atraso en pago de bienes y servicios</t>
  </si>
  <si>
    <t>1.4.0.0.00.00.0.0.000</t>
  </si>
  <si>
    <t>1.4.1.0.00.00.0.0.000</t>
  </si>
  <si>
    <t>TRANSFERENCIAS CORRIENTES DEL SECTOR PUBLICO</t>
  </si>
  <si>
    <t>1.4.1.2.00.00.0.0.000</t>
  </si>
  <si>
    <t>Transferencias corrientes de Órganos Desconcentrados</t>
  </si>
  <si>
    <t>1.4.1.3.00.00.0.0.000</t>
  </si>
  <si>
    <t>Transferencias corrientes de Instituciones Descentralizadas no Empresariales</t>
  </si>
  <si>
    <t>2.0.0.0.00.00.0.0.000</t>
  </si>
  <si>
    <t>2.1.0.0.00.00.0.0.000</t>
  </si>
  <si>
    <t>VENTA DE ACTIVOS</t>
  </si>
  <si>
    <t>2.1.2.0.00.00.0.0.000</t>
  </si>
  <si>
    <t>VENTA DE ACTIVOS INTANGIBLES</t>
  </si>
  <si>
    <t>2.1.2.1.00.00.0.0.000</t>
  </si>
  <si>
    <t>Venta de patentes</t>
  </si>
  <si>
    <t>Parques y obras de ornato</t>
  </si>
  <si>
    <t>II-5</t>
  </si>
  <si>
    <t>Elaboración Plan Regulador</t>
  </si>
  <si>
    <t>1.3.1.3.01.01.2.0.000</t>
  </si>
  <si>
    <t>Mejoras Matadero Mpl.</t>
  </si>
  <si>
    <t>Art. 3 del reglamento sobre refrendo de contrataciones de la Administración Pública</t>
  </si>
  <si>
    <t>Asistente Auditoría Interna</t>
  </si>
  <si>
    <t>Técnico 2</t>
  </si>
  <si>
    <t>Coord. Proc. Asesoría Jurídica</t>
  </si>
  <si>
    <t>Analista de Sistemas</t>
  </si>
  <si>
    <t>Contadora Municipal</t>
  </si>
  <si>
    <t>Tesorera Municipal</t>
  </si>
  <si>
    <t>Responsable Procesos Licitatorios</t>
  </si>
  <si>
    <t>Auditora Interna</t>
  </si>
  <si>
    <t>2.4.0.0.00.00.0.0.000</t>
  </si>
  <si>
    <t>2.4.1.0.00.00.0.0.000</t>
  </si>
  <si>
    <t>TRANSFERENCIAS DE CAPITAL DEL SECTOR PUBLICO</t>
  </si>
  <si>
    <t>2.4.1.1.00.00.0.0.000</t>
  </si>
  <si>
    <t>Transferencias de capital del Gobierno Central</t>
  </si>
  <si>
    <t>2.4.1.3.00.00.0.0.000</t>
  </si>
  <si>
    <t>Transferencias de capital de Instituciones Descentralizadas no Empresariales</t>
  </si>
  <si>
    <t xml:space="preserve">Y PLAN OPERATIVO ANUAL </t>
  </si>
  <si>
    <t>San Isidro de El General, Pérez Zeledón</t>
  </si>
  <si>
    <t>REMUNERACIONES</t>
  </si>
  <si>
    <t>SERVICIOS</t>
  </si>
  <si>
    <t xml:space="preserve">SERVICIOS </t>
  </si>
  <si>
    <t xml:space="preserve">INTERESES Y COMISIONES </t>
  </si>
  <si>
    <t>BIENES DURADEROS</t>
  </si>
  <si>
    <t>CUENTAS ESPECIALES</t>
  </si>
  <si>
    <t>EGRESOS PROGRAMA I</t>
  </si>
  <si>
    <t>EGRESOS PROGRAMA II</t>
  </si>
  <si>
    <t>EGRESOS PROGRAMA III</t>
  </si>
  <si>
    <t>PROGRAMA I</t>
  </si>
  <si>
    <t>CUADRO No. 1</t>
  </si>
  <si>
    <t>APLICACIÓN</t>
  </si>
  <si>
    <t>1.1.2.1.01.00.0.0.000</t>
  </si>
  <si>
    <t>Juntas de Educación 10%</t>
  </si>
  <si>
    <t>Administración General</t>
  </si>
  <si>
    <t>07</t>
  </si>
  <si>
    <t>1.3.1.2.05.04.1.0.000</t>
  </si>
  <si>
    <t>2.1.2.1.01.00.0.0.000</t>
  </si>
  <si>
    <t>P.</t>
  </si>
  <si>
    <t>Pr.</t>
  </si>
  <si>
    <t>Act. Serv. Grupo</t>
  </si>
  <si>
    <t>TOTALES</t>
  </si>
  <si>
    <t>1.1.2.1.02.00.0.0.000</t>
  </si>
  <si>
    <t>1.1.3.2.02.03.1.0.000</t>
  </si>
  <si>
    <t>1.1.9.1.02.00.0.0.000</t>
  </si>
  <si>
    <t>1.3.1.2.05.04.2.0.000</t>
  </si>
  <si>
    <t>1.3.1.2.05.04.3.0.000</t>
  </si>
  <si>
    <t>1.3.1.2.05.09.2.0.000</t>
  </si>
  <si>
    <t>Parquímetros</t>
  </si>
  <si>
    <t>2.4.1.1.01.00.0.0.000</t>
  </si>
  <si>
    <t>2.4.1.3.01.00.0.0.000</t>
  </si>
  <si>
    <t>CUADRO No. 4</t>
  </si>
  <si>
    <t>DETALLE DE LA DEUDA</t>
  </si>
  <si>
    <t xml:space="preserve">TOTAL DEUDAS </t>
  </si>
  <si>
    <t>ENTIDAD</t>
  </si>
  <si>
    <t xml:space="preserve">OBJETIVO DEL </t>
  </si>
  <si>
    <t>FINANCIERA</t>
  </si>
  <si>
    <t>Nº OPERACIÓN</t>
  </si>
  <si>
    <t>PRÉSTAMO</t>
  </si>
  <si>
    <t>Proy. Cat. y Valor. Bienes Inmuebles, II etapa</t>
  </si>
  <si>
    <t>245-01-02-5777068</t>
  </si>
  <si>
    <t>245-01-02-5777067</t>
  </si>
  <si>
    <t>REMUNERACIONES BÁSICAS</t>
  </si>
  <si>
    <t>0.01.01</t>
  </si>
  <si>
    <t xml:space="preserve">Sueldos para cargos fijos </t>
  </si>
  <si>
    <t>0.01.02</t>
  </si>
  <si>
    <t>Jornales</t>
  </si>
  <si>
    <t>0.01.03</t>
  </si>
  <si>
    <t>0.01.05</t>
  </si>
  <si>
    <t xml:space="preserve">Suplencias </t>
  </si>
  <si>
    <t>0.02</t>
  </si>
  <si>
    <t>REMUNERACIONES EVENTUALES</t>
  </si>
  <si>
    <t>0.02.01</t>
  </si>
  <si>
    <t>Tiempo extraordinario</t>
  </si>
  <si>
    <t>0.02.02</t>
  </si>
  <si>
    <t>0.02.05</t>
  </si>
  <si>
    <t>0.03</t>
  </si>
  <si>
    <t>INCENTIVOS SALARIALES</t>
  </si>
  <si>
    <t>0.03.01</t>
  </si>
  <si>
    <t>Retribución por años servidos</t>
  </si>
  <si>
    <t>0.03.02</t>
  </si>
  <si>
    <t>Restricción al ejercicio liberal de la profesión</t>
  </si>
  <si>
    <t>0.03.03</t>
  </si>
  <si>
    <t>0.03.99</t>
  </si>
  <si>
    <t>Otros incentivos salariales</t>
  </si>
  <si>
    <t>0.04</t>
  </si>
  <si>
    <t>CONTRIBUCIONES PATRONALES AL DESARROLLO Y LA SEGURIDAD SOCIAL</t>
  </si>
  <si>
    <t>0.04.01</t>
  </si>
  <si>
    <t>0.04.05</t>
  </si>
  <si>
    <t>0.05</t>
  </si>
  <si>
    <t>0.05.01</t>
  </si>
  <si>
    <t>0.05.02</t>
  </si>
  <si>
    <t>0.05.03</t>
  </si>
  <si>
    <t>0.05.05</t>
  </si>
  <si>
    <t>1.01</t>
  </si>
  <si>
    <t xml:space="preserve">ALQUILERES </t>
  </si>
  <si>
    <t>1.01.01</t>
  </si>
  <si>
    <t>Alquiler de edificios, locales y terrenos</t>
  </si>
  <si>
    <t>1.01.02</t>
  </si>
  <si>
    <t>Alquiler de maquinaria, equipo y mobiliario</t>
  </si>
  <si>
    <t>1.01.99</t>
  </si>
  <si>
    <t>Otros alquileres</t>
  </si>
  <si>
    <t>1.02</t>
  </si>
  <si>
    <t>SERVICIOS BÁSICOS</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</si>
  <si>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</si>
  <si>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</si>
  <si>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</si>
  <si>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</si>
  <si>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</si>
  <si>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</si>
  <si>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</si>
  <si>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</si>
  <si>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</si>
  <si>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</si>
  <si>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t>
  </si>
  <si>
    <t>SERVICIOS COMERCIALES Y FINANCIEROS</t>
  </si>
  <si>
    <t>1.03.01</t>
  </si>
  <si>
    <t xml:space="preserve">Información </t>
  </si>
  <si>
    <t>1.03.02</t>
  </si>
  <si>
    <t>Publicidad y propaganda</t>
  </si>
  <si>
    <t>1.03.03</t>
  </si>
  <si>
    <t>Impresión, encuadernación y otros</t>
  </si>
  <si>
    <t>1.04</t>
  </si>
  <si>
    <t>SERVICIOS DE GESTIÓN Y APOYO</t>
  </si>
  <si>
    <t>1.04.02</t>
  </si>
  <si>
    <t xml:space="preserve">Servicios jurídicos </t>
  </si>
  <si>
    <t>1.04.03</t>
  </si>
  <si>
    <t>Servicios de ingeniería</t>
  </si>
  <si>
    <t>1.04.06</t>
  </si>
  <si>
    <t>1.04.99</t>
  </si>
  <si>
    <t>1.05</t>
  </si>
  <si>
    <t>1.05.01</t>
  </si>
  <si>
    <t>Transporte dentro del país</t>
  </si>
  <si>
    <t>1.05.02</t>
  </si>
  <si>
    <t>Viáticos dentro del país</t>
  </si>
  <si>
    <t>1.06</t>
  </si>
  <si>
    <t>SEGUROS, REASEGUROS Y OTRAS OBLIGACIONES</t>
  </si>
  <si>
    <t>1.06.01</t>
  </si>
  <si>
    <t>1.07</t>
  </si>
  <si>
    <t>CAPACITACIÓN Y PROTOCOLO</t>
  </si>
  <si>
    <t>1.07.01</t>
  </si>
  <si>
    <t>Actividades de capacitación</t>
  </si>
  <si>
    <t>1.07.02</t>
  </si>
  <si>
    <t xml:space="preserve">Actividades protocolarias y sociales </t>
  </si>
  <si>
    <t>1.07.03</t>
  </si>
  <si>
    <t>Gastos de representación institucional</t>
  </si>
  <si>
    <t>1.08</t>
  </si>
  <si>
    <t>MANTENIMIENTO Y REPARACIÓN</t>
  </si>
  <si>
    <t>1.08.01</t>
  </si>
  <si>
    <t>1.08.03</t>
  </si>
  <si>
    <t>1.08.04</t>
  </si>
  <si>
    <t>1.08.05</t>
  </si>
  <si>
    <t>1.08.06</t>
  </si>
  <si>
    <t>TOTAL     GENERAL</t>
  </si>
  <si>
    <t>CÓDI GO</t>
  </si>
  <si>
    <t>1.08.07</t>
  </si>
  <si>
    <t>1.08.08</t>
  </si>
  <si>
    <t>IMPUESTOS</t>
  </si>
  <si>
    <t>1.09.99</t>
  </si>
  <si>
    <t>SERVICIOS DIVERSOS</t>
  </si>
  <si>
    <t>Deducibles</t>
  </si>
  <si>
    <t>2.01</t>
  </si>
  <si>
    <t>PRODUCTOS QUÍMICOS Y CONEXOS</t>
  </si>
  <si>
    <t>2.01.01</t>
  </si>
  <si>
    <t>Combustibles y lubricantes</t>
  </si>
  <si>
    <t>2.01.02</t>
  </si>
  <si>
    <t>Productos farmacéuticos y medicinales</t>
  </si>
  <si>
    <t>2.01.04</t>
  </si>
  <si>
    <t xml:space="preserve">Tintas, pinturas y diluyentes </t>
  </si>
  <si>
    <t>2.01.99</t>
  </si>
  <si>
    <t>2.02</t>
  </si>
  <si>
    <t>2.02.03</t>
  </si>
  <si>
    <t>Alimentos y bebidas</t>
  </si>
  <si>
    <t>2.03</t>
  </si>
  <si>
    <t>MATERIALES Y PRODUCTOS DE USO EN LA CONSTRUCCIÓN Y MANTENIMIENTO</t>
  </si>
  <si>
    <t>2.03.01</t>
  </si>
  <si>
    <t>Materiales y productos metálicos</t>
  </si>
  <si>
    <t>2.03.02</t>
  </si>
  <si>
    <t>Materiales y productos minerales y asfálticos</t>
  </si>
  <si>
    <t>2.03.03</t>
  </si>
  <si>
    <t>Madera y sus derivados</t>
  </si>
  <si>
    <t>2.03.04</t>
  </si>
  <si>
    <t>2.03.06</t>
  </si>
  <si>
    <t>Materiales y productos de plástico</t>
  </si>
  <si>
    <t>2.03.99</t>
  </si>
  <si>
    <t>2.04</t>
  </si>
  <si>
    <t>HERRAMIENTAS, REPUESTOS Y ACCESORIOS</t>
  </si>
  <si>
    <t>2.04.01</t>
  </si>
  <si>
    <t>Herramientas e instrumentos</t>
  </si>
  <si>
    <t>2.04.02</t>
  </si>
  <si>
    <t>Repuestos y accesorios</t>
  </si>
  <si>
    <t>2.99</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</si>
  <si>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</si>
  <si>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</si>
  <si>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</si>
  <si>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</si>
  <si>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</si>
  <si>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</si>
  <si>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</si>
  <si>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</si>
  <si>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</si>
  <si>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</si>
  <si>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</si>
  <si>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</si>
  <si>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</si>
  <si>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INTERESES Y COMISIONES</t>
  </si>
  <si>
    <t>3.02</t>
  </si>
  <si>
    <t>INTERESES SOBRE PRÉSTAMOS</t>
  </si>
  <si>
    <t>3.02.03</t>
  </si>
  <si>
    <t>3.02.06</t>
  </si>
  <si>
    <t>5.01</t>
  </si>
  <si>
    <t>MAQUINARIA, EQUIPO Y MOBILIARIO</t>
  </si>
  <si>
    <t>5.01.01</t>
  </si>
  <si>
    <t>Maquinaria y equipo para la producción</t>
  </si>
  <si>
    <t>5.01.02</t>
  </si>
  <si>
    <t>Equipo de transporte</t>
  </si>
  <si>
    <t>5.01.03</t>
  </si>
  <si>
    <t>Equipo de comunicación</t>
  </si>
  <si>
    <t>5.01.04</t>
  </si>
  <si>
    <t>Equipo y mobiliario de oficina</t>
  </si>
  <si>
    <t>5.01.05</t>
  </si>
  <si>
    <t>Equipo y programas de  cómputo</t>
  </si>
  <si>
    <t>5.01.07</t>
  </si>
  <si>
    <t>Equipo y mobiliario educacional, deportivo y recreativo</t>
  </si>
  <si>
    <t>5.01.99</t>
  </si>
  <si>
    <t>6.01</t>
  </si>
  <si>
    <t>6.01.01</t>
  </si>
  <si>
    <t>6.01.02</t>
  </si>
  <si>
    <t>6.01.03</t>
  </si>
  <si>
    <t>6.01.04</t>
  </si>
  <si>
    <t>6.02</t>
  </si>
  <si>
    <t>6.02.01</t>
  </si>
  <si>
    <t>Becas a funcionarios</t>
  </si>
  <si>
    <t>6.02.03</t>
  </si>
  <si>
    <t>6.03</t>
  </si>
  <si>
    <t xml:space="preserve">PRESTACIONES </t>
  </si>
  <si>
    <t>6.03.01</t>
  </si>
  <si>
    <t>6.04</t>
  </si>
  <si>
    <t>6.04.01</t>
  </si>
  <si>
    <t>7.01</t>
  </si>
  <si>
    <t>TRANSFERENCIAS DE CAPITAL AL SECTOR PÚBLICO</t>
  </si>
  <si>
    <t>7.01.02</t>
  </si>
  <si>
    <t>7.01.03</t>
  </si>
  <si>
    <t>7.01.07</t>
  </si>
  <si>
    <t>8.02</t>
  </si>
  <si>
    <t>AMORTIZACIÓN DE PRÉSTAMOS</t>
  </si>
  <si>
    <t>8.02.03</t>
  </si>
  <si>
    <t>8.02.06</t>
  </si>
  <si>
    <t>9.02</t>
  </si>
  <si>
    <t>SUMAS SIN ASIGNACIÓN PRESUPUESTARIA</t>
  </si>
  <si>
    <t>9.02.02</t>
  </si>
  <si>
    <t>Sumas con destino específico sin asignación presupuestaria</t>
  </si>
  <si>
    <t>1.99.05</t>
  </si>
  <si>
    <t>O.N.T. 1%</t>
  </si>
  <si>
    <t>Registro Nacional 3%</t>
  </si>
  <si>
    <t>IFAM 1%</t>
  </si>
  <si>
    <t>Fondo Desarrollo municipal 8%</t>
  </si>
  <si>
    <t>IFAM 2%</t>
  </si>
  <si>
    <t>25</t>
  </si>
  <si>
    <t>CONAGEBIO 10%</t>
  </si>
  <si>
    <t>Fondo Parques nacionales 70%</t>
  </si>
  <si>
    <t>Protección medio ambiente 30%</t>
  </si>
  <si>
    <t>Servicio Cementerio</t>
  </si>
  <si>
    <t>Servicio Recolección de basura</t>
  </si>
  <si>
    <t>Servicio Aseo de Vías</t>
  </si>
  <si>
    <t>22</t>
  </si>
  <si>
    <t>03</t>
  </si>
  <si>
    <t>Atención emergencias cantonales.</t>
  </si>
  <si>
    <t>APLICACIÓN:</t>
  </si>
  <si>
    <t>II-25</t>
  </si>
  <si>
    <t>Protección del medio ambiente</t>
  </si>
  <si>
    <t>Aseo de Vías y sitios públicos</t>
  </si>
  <si>
    <r>
      <t>Menos:</t>
    </r>
    <r>
      <rPr>
        <sz val="11"/>
        <rFont val="Times New Roman"/>
        <family val="1"/>
      </rPr>
      <t xml:space="preserve"> Inversiones y servicios de la deuda del servicio</t>
    </r>
  </si>
  <si>
    <t xml:space="preserve">Amortización deuda </t>
  </si>
  <si>
    <t xml:space="preserve">Maquinaria y Equipo </t>
  </si>
  <si>
    <t xml:space="preserve">Gastos del servicio </t>
  </si>
  <si>
    <t>Elaborado por:</t>
  </si>
  <si>
    <t>28</t>
  </si>
  <si>
    <t>Atención emergencias cantonales</t>
  </si>
  <si>
    <t>Asociación Escuela de Música Sinfónica de Pérez Zeledón.</t>
  </si>
  <si>
    <t>Mantenimiento de caminos y calles</t>
  </si>
  <si>
    <t xml:space="preserve">II </t>
  </si>
  <si>
    <t>Ley 8307 del 27-09-02, alcance 70 A.</t>
  </si>
  <si>
    <t>ANEXO No. 1</t>
  </si>
  <si>
    <t>ANEXO No. 2</t>
  </si>
  <si>
    <t>II-2</t>
  </si>
  <si>
    <t>Medio ambiente</t>
  </si>
  <si>
    <t>I-4</t>
  </si>
  <si>
    <t>Aporte al Comité Cantonal de Deportes</t>
  </si>
  <si>
    <t>DETALLE  20% INGRESOS DESTINADOS A GASTOS DE SANIDAD</t>
  </si>
  <si>
    <t>Menos ingresos de aplicación específica:</t>
  </si>
  <si>
    <t>TOTAL INGRESOS ESPECÍFICOS</t>
  </si>
  <si>
    <t>Saldo para Calcular el 20% para gastos de sanidad</t>
  </si>
  <si>
    <t>Total gastos Asignados a sanidad</t>
  </si>
  <si>
    <t>PRESUPUESTO PRECEDENTE</t>
  </si>
  <si>
    <t>PRESUPUESTO EN ESTUDIO</t>
  </si>
  <si>
    <t>PORCENTAJE DE AUMENTO DEL PRESUPUESTO</t>
  </si>
  <si>
    <t>NUMERO REGIDORES</t>
  </si>
  <si>
    <t>VALOR</t>
  </si>
  <si>
    <t>DIETA ACTUAL</t>
  </si>
  <si>
    <t>VALOR DIETA</t>
  </si>
  <si>
    <t>ANEXO No. 4</t>
  </si>
  <si>
    <t>ANEXO No. 5</t>
  </si>
  <si>
    <t>POR RADIO Y TELEVISIÓN</t>
  </si>
  <si>
    <t>Ley No. 4325</t>
  </si>
  <si>
    <t>Por radio y televisión</t>
  </si>
  <si>
    <t>ANEXO No. 7</t>
  </si>
  <si>
    <t>ADQUISICIÓN DE BIENES Y SERVICIOS</t>
  </si>
  <si>
    <t>PARTIDAS</t>
  </si>
  <si>
    <t>1     SERVICIOS</t>
  </si>
  <si>
    <t>2     MATERIALES Y SUMINISTROS</t>
  </si>
  <si>
    <t>5     BIENES DURADEROS</t>
  </si>
  <si>
    <t>INCENTIVOS SALARIALES QUE SE RECONOCEN</t>
  </si>
  <si>
    <t>INCENTIVO SALARIAL</t>
  </si>
  <si>
    <t>BASE LEGAL</t>
  </si>
  <si>
    <t>OTRA INFORMACIÓN IMPORTANTE</t>
  </si>
  <si>
    <t>DETALLE DE EGRESOS</t>
  </si>
  <si>
    <t xml:space="preserve">TRANSFERENCIAS CORRIENTES Y CAPITAL A FAVOR DE </t>
  </si>
  <si>
    <t>ENTIDADES PRIVADAS SIN FINES DE LUCRO</t>
  </si>
  <si>
    <t>3-002-188499</t>
  </si>
  <si>
    <t>Para coadyuvar en la evolución económica y financiera de dicha escuela.</t>
  </si>
  <si>
    <t>ANEXO No. 3</t>
  </si>
  <si>
    <t>CONTRIBUCIONES PATRONALES</t>
  </si>
  <si>
    <t>MONTO DE CALCULO</t>
  </si>
  <si>
    <t>CAJA COST. SEG. SOCIAL</t>
  </si>
  <si>
    <t>Invalidez Vejez y Muerte</t>
  </si>
  <si>
    <t>Enfermedad y Maternidad</t>
  </si>
  <si>
    <t>Régimen Oblig. De Pensiones</t>
  </si>
  <si>
    <t>Fondo  Capitaliz. Laboral</t>
  </si>
  <si>
    <t>Ahorro Oblig. Banco Popular</t>
  </si>
  <si>
    <t>Anexo 4:   Contribuciones Patronales.........................................................................</t>
  </si>
  <si>
    <t>Auditoría Interna</t>
  </si>
  <si>
    <t>Registro de deudas, fondos y transferencias</t>
  </si>
  <si>
    <t>CÓDIGO</t>
  </si>
  <si>
    <t>Aseo de Vías y Sitios Públicos</t>
  </si>
  <si>
    <t>Recolección de Basura</t>
  </si>
  <si>
    <t>Mantenimiento  de Caminos y Calles</t>
  </si>
  <si>
    <t>Cementerios</t>
  </si>
  <si>
    <t>Mercados, Plazas y Ferias</t>
  </si>
  <si>
    <t>Mataderos</t>
  </si>
  <si>
    <t>Educativos, Culturales y Deportivos</t>
  </si>
  <si>
    <t>Servicios sociales complementarios</t>
  </si>
  <si>
    <t>Estacionamientos y Terminales</t>
  </si>
  <si>
    <t>Mantenimiento de Edificios</t>
  </si>
  <si>
    <t>Seguridad Vial</t>
  </si>
  <si>
    <t>Atención Emergencias Cantonales</t>
  </si>
  <si>
    <t>Aportes en especie para servicios y proyectos comunitarios</t>
  </si>
  <si>
    <t>VÍAS DE COMUNICACIÓN TERRESTRE</t>
  </si>
  <si>
    <t>OTROS PROYECTOS</t>
  </si>
  <si>
    <t>OTROS FONDOS E INVERSIONES</t>
  </si>
  <si>
    <t>TOTAL GENERAL DE EGRESOS</t>
  </si>
  <si>
    <t>Administración de Inversiones Propias</t>
  </si>
  <si>
    <t xml:space="preserve">  Elaborado  por:</t>
  </si>
  <si>
    <r>
      <t xml:space="preserve">Programas de producción nacional </t>
    </r>
    <r>
      <rPr>
        <sz val="10"/>
        <rFont val="Times New Roman"/>
        <family val="1"/>
      </rPr>
      <t>(mínimo un 30%)</t>
    </r>
  </si>
  <si>
    <r>
      <t>Cuñas, avisos o comerciales.</t>
    </r>
    <r>
      <rPr>
        <sz val="10"/>
        <rFont val="Times New Roman"/>
        <family val="1"/>
      </rPr>
      <t xml:space="preserve"> (máximo un 70%)  ***</t>
    </r>
  </si>
  <si>
    <t xml:space="preserve">GASTOS DE INFORMACIÓN Y PUBLICIDAD </t>
  </si>
  <si>
    <t>CUADROS Y ANEXOS</t>
  </si>
  <si>
    <t>DIRECCIÓN Y ADMINISTRACIÓN GENERALES</t>
  </si>
  <si>
    <t>EGRESOS</t>
  </si>
  <si>
    <t>Nivel de aprobación Contraloría</t>
  </si>
  <si>
    <t>Nivel de aprobación Concejo Municipal</t>
  </si>
  <si>
    <t>OK</t>
  </si>
  <si>
    <t xml:space="preserve">MONTO TOTAL DEL PRESUPUESTO </t>
  </si>
  <si>
    <t>Aporte IFAM para manten. y conservac. de calles urbanas y caminos vecinales y adquisición de maquinaria y equipo L.6909</t>
  </si>
  <si>
    <t>Recursos de vigencias anteriores (libre y específico)</t>
  </si>
  <si>
    <t>Recursos del crédito</t>
  </si>
  <si>
    <t>Detalle General de Egresos.........................................................................</t>
  </si>
  <si>
    <t>Detalle de Egresos Programa II Servicios Comunales.................................</t>
  </si>
  <si>
    <t>Fecha</t>
  </si>
  <si>
    <t xml:space="preserve">                                              Contadora Mpl.</t>
  </si>
  <si>
    <t>TOTAL INGRESOS ORDINARIOS</t>
  </si>
  <si>
    <t>INCREMENTO CON AÑO ANTERIOR</t>
  </si>
  <si>
    <t>3.0.0.0.00.00.0.0.000</t>
  </si>
  <si>
    <t>FINANCIAMIENTO</t>
  </si>
  <si>
    <t>3.1.0.0.00.00.0.0.000</t>
  </si>
  <si>
    <t>FINANCIAMIENTO INTERNO</t>
  </si>
  <si>
    <t>PROGRAMA IV</t>
  </si>
  <si>
    <t>PROGRAMA 
I</t>
  </si>
  <si>
    <t>PROGRAMA
II</t>
  </si>
  <si>
    <t>PROGRAMA
III</t>
  </si>
  <si>
    <t>PROGRAMA 
IV</t>
  </si>
  <si>
    <t>1.99.99</t>
  </si>
  <si>
    <t>2.02.04</t>
  </si>
  <si>
    <t>Alimentos para animales</t>
  </si>
  <si>
    <t>COMISIONES Y OTROS GASTOS</t>
  </si>
  <si>
    <t>3.04.03</t>
  </si>
  <si>
    <t>BIENES PREEXISTENTES</t>
  </si>
  <si>
    <t>5.03.01</t>
  </si>
  <si>
    <t>Terrenos</t>
  </si>
  <si>
    <t>Parques y Obras de Ornato</t>
  </si>
  <si>
    <t>Depósito y tratamiento de basura</t>
  </si>
  <si>
    <t>Construcción Relleno Sanitario</t>
  </si>
  <si>
    <t>INVERSIONES</t>
  </si>
  <si>
    <t>PARTIDAS ESPECIFICAS</t>
  </si>
  <si>
    <t>3.3.0.0.00.00.0.0.000</t>
  </si>
  <si>
    <t>RECURSOS DE VIGENCIAS ANTERIORES</t>
  </si>
  <si>
    <t>3.3.2.0.00.00.0.0.000</t>
  </si>
  <si>
    <t>3.1.1.6.00.00.0.0.000</t>
  </si>
  <si>
    <t>Préstamos directos de Instituciones Públicas Financieras.</t>
  </si>
  <si>
    <t>RELACIÓN DE PUESTOS</t>
  </si>
  <si>
    <t>Dep. y Tratamien. Basura</t>
  </si>
  <si>
    <t>16</t>
  </si>
  <si>
    <t>TOTAL POR OBJETO DEL GASTO</t>
  </si>
  <si>
    <t>PROGRAMA
 I
Dirección y
Administración
General</t>
  </si>
  <si>
    <t>PROGRAMA
 II
Servicios Comunales</t>
  </si>
  <si>
    <t>PROGRAMA 
IV
Partidas
Específicas</t>
  </si>
  <si>
    <t>PROGRAMA
III
Inversiones</t>
  </si>
  <si>
    <t>Remuneraciones</t>
  </si>
  <si>
    <t>Servicios</t>
  </si>
  <si>
    <t>Materiales y Suministros</t>
  </si>
  <si>
    <t>Intereses y Comisiones</t>
  </si>
  <si>
    <t>Bienes Duraderos</t>
  </si>
  <si>
    <t>Transferencias Corrientes</t>
  </si>
  <si>
    <t>Transferencias de Capital</t>
  </si>
  <si>
    <t>Amortizacón</t>
  </si>
  <si>
    <t>Cuentas Especiales</t>
  </si>
  <si>
    <t>1.03.06</t>
  </si>
  <si>
    <t>CATALOGO</t>
  </si>
  <si>
    <t>DESCRIPCIÓN</t>
  </si>
  <si>
    <t>0.01.04</t>
  </si>
  <si>
    <t>Sueldos a base de comisión</t>
  </si>
  <si>
    <t>0.02.03</t>
  </si>
  <si>
    <t>Disponibilidad laboral</t>
  </si>
  <si>
    <t>0.02.04</t>
  </si>
  <si>
    <t>Compensación de vacaciones</t>
  </si>
  <si>
    <t>0.03.04</t>
  </si>
  <si>
    <t>Salario escolar</t>
  </si>
  <si>
    <t>Contribución Patronal al Seguro de Salud de la Caja Costarricense de Seguro Social</t>
  </si>
  <si>
    <t>0.04.02</t>
  </si>
  <si>
    <t xml:space="preserve">Contribución Patronal al Instituto Mixto de Ayuda Social </t>
  </si>
  <si>
    <t>0.04.03</t>
  </si>
  <si>
    <t xml:space="preserve">Contribución Patronal al Instituto Nacional de Aprendizaje  </t>
  </si>
  <si>
    <t>0.04.04</t>
  </si>
  <si>
    <t>Contribución Patronal al Fondo de Desarrollo Social  y Asignaciones Familiares</t>
  </si>
  <si>
    <t>Contribución Patronal al Banco Popular y de Desarrollo  Comunal</t>
  </si>
  <si>
    <t xml:space="preserve">CONTRIBUCIONES PATRONALES A FONDOS DE PENSIONES Y OTROS FONDOS DE CAPITALIZACIÓN </t>
  </si>
  <si>
    <t xml:space="preserve">Contribución Patronal al Seguro de Pensiones de la Caja Costarricense de Seguro Social  </t>
  </si>
  <si>
    <t xml:space="preserve">Aporte Patronal al Régimen Obligatorio de Pensiones  Complementarias </t>
  </si>
  <si>
    <t xml:space="preserve">Aporte Patronal al Fondo de Capitalización Laboral </t>
  </si>
  <si>
    <t>0.05.04</t>
  </si>
  <si>
    <t>Contribución Patronal a otros fondos administrados por entes públicos</t>
  </si>
  <si>
    <t>Contribución Patronal a otros fondos administrados por entes privados</t>
  </si>
  <si>
    <t>0.99</t>
  </si>
  <si>
    <t>REMUNERACIONES DIVERSAS</t>
  </si>
  <si>
    <t>0.99.01</t>
  </si>
  <si>
    <t>Gastos de representación personal</t>
  </si>
  <si>
    <t>0.99.99</t>
  </si>
  <si>
    <t>Otras remuneraciones</t>
  </si>
  <si>
    <t>1.01.03</t>
  </si>
  <si>
    <t>Alquiler de equipo de cómputo</t>
  </si>
  <si>
    <t>1.01.04</t>
  </si>
  <si>
    <t>Alquileres y derechos para telecomunicaciones</t>
  </si>
  <si>
    <t>1.03.05</t>
  </si>
  <si>
    <t>Servicios aduaneros</t>
  </si>
  <si>
    <t>Comisiones y gastos por servicios financieros y comerciales</t>
  </si>
  <si>
    <t>Servicios de transferencia electrónica de información</t>
  </si>
  <si>
    <t>1.04.01</t>
  </si>
  <si>
    <t>Servicios médicos y de laboratorio</t>
  </si>
  <si>
    <t>1.04.04</t>
  </si>
  <si>
    <t>Servicios en ciencias económicas y sociales</t>
  </si>
  <si>
    <t>1.04.05</t>
  </si>
  <si>
    <t>Servicios de desarrollo de sistemas informáticos</t>
  </si>
  <si>
    <t xml:space="preserve">Servicios generales </t>
  </si>
  <si>
    <t>Otros servicios de gestión y apoyo</t>
  </si>
  <si>
    <t>GASTOS DE VIAJE Y TRANSPORTE</t>
  </si>
  <si>
    <t>1.05.03</t>
  </si>
  <si>
    <t>Transporte en el exterior</t>
  </si>
  <si>
    <t>1.05.04</t>
  </si>
  <si>
    <t>Viáticos en el exterior</t>
  </si>
  <si>
    <t xml:space="preserve">Seguros </t>
  </si>
  <si>
    <t>1.06.02</t>
  </si>
  <si>
    <t xml:space="preserve">Reaseguros </t>
  </si>
  <si>
    <t>1.06.03</t>
  </si>
  <si>
    <t>Obligaciones por contratos de seguros</t>
  </si>
  <si>
    <t>1.08.02</t>
  </si>
  <si>
    <t>Mantenimiento de vías de comunicación</t>
  </si>
  <si>
    <t>Mantenimiento de instalaciones y otras obras</t>
  </si>
  <si>
    <t>Mantenimiento y reparación de maquinaria y equipo de producción</t>
  </si>
  <si>
    <t>Mantenimiento y reparación de equipo de transporte</t>
  </si>
  <si>
    <t>Mantenimiento y reparación de equipo de comunicación</t>
  </si>
  <si>
    <t>Mantenimiento y reparación de equipo y mobiliario de oficina</t>
  </si>
  <si>
    <t>Mantenimiento y reparación de equipo de cómputo y  sistemas de información</t>
  </si>
  <si>
    <t>Impuestos sobre ingresos y utilidades</t>
  </si>
  <si>
    <t>1.09.02</t>
  </si>
  <si>
    <t xml:space="preserve">Impuestos sobre bienes inmuebles          </t>
  </si>
  <si>
    <t>1.09.03</t>
  </si>
  <si>
    <t>Impuestos de patentes</t>
  </si>
  <si>
    <t>Otros impuestos</t>
  </si>
  <si>
    <t>1.99.01</t>
  </si>
  <si>
    <t>Servicios de regulación</t>
  </si>
  <si>
    <t>1.99.02</t>
  </si>
  <si>
    <t>Intereses moratorios y multas</t>
  </si>
  <si>
    <t>1.99.03</t>
  </si>
  <si>
    <t>Gastos de oficinas en el exterior</t>
  </si>
  <si>
    <t>1.99.04</t>
  </si>
  <si>
    <t>Gastos de misiones especiales en el exterior</t>
  </si>
  <si>
    <t>Otros servicios no especificados</t>
  </si>
  <si>
    <t>2.01.03</t>
  </si>
  <si>
    <t>Productos veterinarios</t>
  </si>
  <si>
    <t xml:space="preserve">ALIMENTOS Y PRODUCTOS AGROPECUARIOS </t>
  </si>
  <si>
    <t>2.02.01</t>
  </si>
  <si>
    <t>Productos pecuarios y otras especies</t>
  </si>
  <si>
    <t>Materiales y productos eléctricos, telefónicos y de cómputo</t>
  </si>
  <si>
    <t>2.05</t>
  </si>
  <si>
    <t>BIENES PARA LA PRODUCCIÓN Y COMERCIALIZACIÓN</t>
  </si>
  <si>
    <t>2.05.01</t>
  </si>
  <si>
    <t>Materia prima</t>
  </si>
  <si>
    <t>2.05.02</t>
  </si>
  <si>
    <t>Productos terminados</t>
  </si>
  <si>
    <t>2.05.03</t>
  </si>
  <si>
    <t>Energía eléctrica</t>
  </si>
  <si>
    <t>2.05.99</t>
  </si>
  <si>
    <t>Otros bienes para la producción y comercialización</t>
  </si>
  <si>
    <t>3.01</t>
  </si>
  <si>
    <t>INTERESES SOBRE TÍTULOS VALORES</t>
  </si>
  <si>
    <t>3.01.01</t>
  </si>
  <si>
    <t xml:space="preserve">Intereses sobre títulos valores internos de corto plazo </t>
  </si>
  <si>
    <t>3.01.02</t>
  </si>
  <si>
    <t>Intereses sobre títulos valores internos de largo plazo</t>
  </si>
  <si>
    <t>3.01.03</t>
  </si>
  <si>
    <t>Intereses sobre títulos valores del sector externo de corto plazo</t>
  </si>
  <si>
    <t>3.01.04</t>
  </si>
  <si>
    <t>Intereses sobre títulos valores del sector externo de largo plazo</t>
  </si>
  <si>
    <t>3.02.01</t>
  </si>
  <si>
    <t xml:space="preserve">Intereses sobre préstamos del Gobierno Central </t>
  </si>
  <si>
    <t>3.02.02</t>
  </si>
  <si>
    <t>Intereses sobre préstamos de Órganos Desconcentrados</t>
  </si>
  <si>
    <t>Intereses sobre préstamos de Instituciones Descentralizadas  no Empresariales</t>
  </si>
  <si>
    <t>3.02.04</t>
  </si>
  <si>
    <t>Intereses sobre préstamos de Gobiernos Locales</t>
  </si>
  <si>
    <t>3.02.05</t>
  </si>
  <si>
    <t>Intereses sobre préstamos de Empresas Públicas no Financieras</t>
  </si>
  <si>
    <t xml:space="preserve">Intereses sobre préstamos de Instituciones Públicas Financieras   </t>
  </si>
  <si>
    <t>3.02.07</t>
  </si>
  <si>
    <t>Intereses sobre préstamos del Sector Privado</t>
  </si>
  <si>
    <t>3.02.08</t>
  </si>
  <si>
    <t>Intereses sobre préstamos del Sector Externo</t>
  </si>
  <si>
    <t>3.03</t>
  </si>
  <si>
    <t>INTERESES SOBRE OTRAS OBLIGACIONES</t>
  </si>
  <si>
    <t>3.03.01</t>
  </si>
  <si>
    <t>Intereses sobre depósitos bancarios a la vista</t>
  </si>
  <si>
    <t>3.03.99</t>
  </si>
  <si>
    <t>3.04.01</t>
  </si>
  <si>
    <t>Comisiones y otros gastos sobre títulos valores internos</t>
  </si>
  <si>
    <t>3.04.02</t>
  </si>
  <si>
    <t>Comisiones  y otros gastos sobre títulos valores del sector externo</t>
  </si>
  <si>
    <t>Comisiones y otros gastos sobre préstamos internos</t>
  </si>
  <si>
    <t>3.04.04</t>
  </si>
  <si>
    <t>Comisiones y otros gastos sobre préstamos del sector externo</t>
  </si>
  <si>
    <t>3.04.05</t>
  </si>
  <si>
    <t>Diferencias por tipo de cambio</t>
  </si>
  <si>
    <t>ACTIVOS FINANCIEROS</t>
  </si>
  <si>
    <t>4.01</t>
  </si>
  <si>
    <t>PRÉSTAMOS</t>
  </si>
  <si>
    <t>4.01.01</t>
  </si>
  <si>
    <t>Préstamos al Gobierno Central</t>
  </si>
  <si>
    <t>4.01.02</t>
  </si>
  <si>
    <t>Préstamos a Órganos Desconcentrados</t>
  </si>
  <si>
    <t>4.01.03</t>
  </si>
  <si>
    <t>Préstamos a Instituciones Descentralizadas no  Empresariales</t>
  </si>
  <si>
    <t>4.01.04</t>
  </si>
  <si>
    <t>Préstamos a Gobiernos Locales</t>
  </si>
  <si>
    <t>4.01.05</t>
  </si>
  <si>
    <t>Préstamos a Empresas Públicas no Financieras</t>
  </si>
  <si>
    <t>4.01.06</t>
  </si>
  <si>
    <t>Préstamos a Instituciones Públicas Financieras</t>
  </si>
  <si>
    <t>4.01.07</t>
  </si>
  <si>
    <t>Préstamos al Sector Privado</t>
  </si>
  <si>
    <t>4.01.08</t>
  </si>
  <si>
    <t>Préstamos al  Sector Externo</t>
  </si>
  <si>
    <t>4.02</t>
  </si>
  <si>
    <t>ADQUISICIÓN DE VALORES</t>
  </si>
  <si>
    <t>4.02.01</t>
  </si>
  <si>
    <t>Adquisición de valores del Gobierno Central</t>
  </si>
  <si>
    <t>4.02.02</t>
  </si>
  <si>
    <t>Adquisición de valores de Órganos Desconcentrados</t>
  </si>
  <si>
    <t>4.02.03</t>
  </si>
  <si>
    <t>Adquisición de valores de Instituciones Descentralizadas no Empresariales</t>
  </si>
  <si>
    <t>4.02.04</t>
  </si>
  <si>
    <t>Adquisición de valores de Gobiernos Locales</t>
  </si>
  <si>
    <t>4.02.05</t>
  </si>
  <si>
    <t>Adquisición de valores de Empresas Públicas no Financieras</t>
  </si>
  <si>
    <t>4.02.06</t>
  </si>
  <si>
    <t xml:space="preserve">Adquisición de valores de Instituciones Públicas  Financieras </t>
  </si>
  <si>
    <t>4.02.07</t>
  </si>
  <si>
    <t>Adquisición de valores del Sector Privado</t>
  </si>
  <si>
    <t>4.02.08</t>
  </si>
  <si>
    <t>Adquisición de valores del Sector Externo</t>
  </si>
  <si>
    <t>4.99</t>
  </si>
  <si>
    <t>OTROS ACTIVOS FINANCIEROS</t>
  </si>
  <si>
    <t>4.99.01</t>
  </si>
  <si>
    <t>Aportes de Capital a Empresas</t>
  </si>
  <si>
    <t>4.99.99</t>
  </si>
  <si>
    <t>Otros activos financieros</t>
  </si>
  <si>
    <t>5.01.06</t>
  </si>
  <si>
    <t>Equipo sanitario, de laboratorio e investigación</t>
  </si>
  <si>
    <t>5.02.03</t>
  </si>
  <si>
    <t>Vías férreas</t>
  </si>
  <si>
    <t>5.02.04</t>
  </si>
  <si>
    <t>Obras marítimas y fluviales</t>
  </si>
  <si>
    <t>5.02.05</t>
  </si>
  <si>
    <t>Aeropuertos</t>
  </si>
  <si>
    <t>5.02.06</t>
  </si>
  <si>
    <t>Obras Urbanísticas</t>
  </si>
  <si>
    <t>5.02.07</t>
  </si>
  <si>
    <t>Instalaciones</t>
  </si>
  <si>
    <t>Otras construcciones adiciones y mejoras</t>
  </si>
  <si>
    <t>5.03.02</t>
  </si>
  <si>
    <t>Edificios preexistentes</t>
  </si>
  <si>
    <t>5.03.99</t>
  </si>
  <si>
    <t>Otras obras preexistentes</t>
  </si>
  <si>
    <t>5.99</t>
  </si>
  <si>
    <t>BIENES DURADEROS DIVERSOS</t>
  </si>
  <si>
    <t>5.99.01</t>
  </si>
  <si>
    <t>Semovientes</t>
  </si>
  <si>
    <t>5.99.02</t>
  </si>
  <si>
    <t>Piezas y obras de colección</t>
  </si>
  <si>
    <t>5.99.03</t>
  </si>
  <si>
    <t>Bienes intangibles</t>
  </si>
  <si>
    <t>5.99.99</t>
  </si>
  <si>
    <t>Otros bienes duraderos</t>
  </si>
  <si>
    <t>TRANSFERENCIAS CORRIENTES AL SECTOR PÚBLICO</t>
  </si>
  <si>
    <t>Transferencias corrientes al Gobierno Central</t>
  </si>
  <si>
    <t>Transferencias corrientes a Órganos Desconcentrados</t>
  </si>
  <si>
    <t>Transferencias corrientes a Instituciones Descentralizadas no  Empresariales</t>
  </si>
  <si>
    <t>Transferencias corrientes a Gobiernos Locales</t>
  </si>
  <si>
    <t>6.01.05</t>
  </si>
  <si>
    <t>Transferencias corrientes a Empresas Públicas no Financieras</t>
  </si>
  <si>
    <t>6.01.06</t>
  </si>
  <si>
    <t xml:space="preserve">Transferencias corrientes a Instituciones Públicas Financieras </t>
  </si>
  <si>
    <t>6.01.07</t>
  </si>
  <si>
    <t>Dividendos</t>
  </si>
  <si>
    <t>6.01.08</t>
  </si>
  <si>
    <t>Fondos en fideicomiso para gasto corriente</t>
  </si>
  <si>
    <t>6.01.09</t>
  </si>
  <si>
    <t>TRANSFERENCIAS CORRIENTES A PERSONAS</t>
  </si>
  <si>
    <t>6.02.02</t>
  </si>
  <si>
    <t>Becas a terceras personas</t>
  </si>
  <si>
    <t xml:space="preserve">Ayudas a funcionarios </t>
  </si>
  <si>
    <t>6.02.99</t>
  </si>
  <si>
    <t>Otras transferencias a personas</t>
  </si>
  <si>
    <t>6.03.02</t>
  </si>
  <si>
    <t xml:space="preserve">Pensiones y jubilaciones contributivas </t>
  </si>
  <si>
    <t>6.03.03</t>
  </si>
  <si>
    <t xml:space="preserve">Pensiones   no contributivas </t>
  </si>
  <si>
    <t>6.03.04</t>
  </si>
  <si>
    <t>6.03.05</t>
  </si>
  <si>
    <t>Cuota patronal de pensiones y jubilaciones, contributivas y no contributivas</t>
  </si>
  <si>
    <t>6.03.99</t>
  </si>
  <si>
    <t>Transferencias corrientes a asociaciones</t>
  </si>
  <si>
    <t>6.04.02</t>
  </si>
  <si>
    <t xml:space="preserve">Transferencias corrientes a fundaciones          </t>
  </si>
  <si>
    <t>6.04.03</t>
  </si>
  <si>
    <t>Transferencias corrientes a cooperativas</t>
  </si>
  <si>
    <t>6.04.04</t>
  </si>
  <si>
    <t>Transferencias corrientes a otras entidades privadas sin fines de lucro</t>
  </si>
  <si>
    <t>6.05</t>
  </si>
  <si>
    <t xml:space="preserve">TRANSFERENCIAS CORRIENTES A EMPRESAS PRIVADAS </t>
  </si>
  <si>
    <t>6.05.01</t>
  </si>
  <si>
    <t>Transferencias corrientes a empresas privadas</t>
  </si>
  <si>
    <t>6.06</t>
  </si>
  <si>
    <t>OTRAS TRANSFERENCIAS CORRIENTES AL SECTOR PRIVADO</t>
  </si>
  <si>
    <t>6.06.01</t>
  </si>
  <si>
    <t>Indemnizaciones</t>
  </si>
  <si>
    <t>6.06.02</t>
  </si>
  <si>
    <t>Reintegros o devoluciones</t>
  </si>
  <si>
    <t>6.07</t>
  </si>
  <si>
    <t>TRANSFERENCIAS CORRIENTES AL SECTOR EXTERNO</t>
  </si>
  <si>
    <t>6.07.01</t>
  </si>
  <si>
    <t>Transferencias corrientes a organismos internacionales</t>
  </si>
  <si>
    <t>6.07.02</t>
  </si>
  <si>
    <t xml:space="preserve">Otras transferencias corrientes al sector externo </t>
  </si>
  <si>
    <t>7.01.01</t>
  </si>
  <si>
    <t>Transferencias  de capital al Gobierno Central</t>
  </si>
  <si>
    <t>Transferencias de capital  a Órganos Desconcentrados</t>
  </si>
  <si>
    <t>Transferencias de capital a Instituciones Descentralizadas no Empresariales</t>
  </si>
  <si>
    <t>7.01.04</t>
  </si>
  <si>
    <t>Transferencias de capital a Gobiernos Locales</t>
  </si>
  <si>
    <t>7.01.05</t>
  </si>
  <si>
    <t>Transferencias de capital a Empresas Públicas no Financieras</t>
  </si>
  <si>
    <t>7.01.06</t>
  </si>
  <si>
    <t>Transferencias de capital a Instituciones Públicas Financieras</t>
  </si>
  <si>
    <t xml:space="preserve">Fondos en fideicomiso para gasto de capital </t>
  </si>
  <si>
    <t>7.02</t>
  </si>
  <si>
    <t>TRANSFERENCIAS DE CAPITAL A PERSONAS</t>
  </si>
  <si>
    <t>7.02.01</t>
  </si>
  <si>
    <t>Transferencias de capital a personas</t>
  </si>
  <si>
    <t>7.03.01</t>
  </si>
  <si>
    <t>Transferencias de capital a asociaciones</t>
  </si>
  <si>
    <t>7.03.02</t>
  </si>
  <si>
    <t xml:space="preserve">Transferencias de capital a fundaciones   </t>
  </si>
  <si>
    <t>7.03.03</t>
  </si>
  <si>
    <t>Transferencias de capital a cooperativas</t>
  </si>
  <si>
    <t>7.03.99</t>
  </si>
  <si>
    <t>Transferencias de capital a otras entidades privadas sin fines de lucro</t>
  </si>
  <si>
    <t>7.04</t>
  </si>
  <si>
    <t>TRANSFERENCIAS DE CAPITAL A EMPRESAS PRIVADAS</t>
  </si>
  <si>
    <t>7.04.01</t>
  </si>
  <si>
    <t>Transferencias de capital a empresas privadas</t>
  </si>
  <si>
    <t>7.05</t>
  </si>
  <si>
    <t>TRANSFERENCIAS DE CAPITAL AL SECTOR EXTERNO</t>
  </si>
  <si>
    <t>7.05.01</t>
  </si>
  <si>
    <t>Transferencias de capital  a organismos internacionales</t>
  </si>
  <si>
    <t>7.05.02</t>
  </si>
  <si>
    <t>Otras transferencias de capital al sector externo</t>
  </si>
  <si>
    <t>8.01</t>
  </si>
  <si>
    <t>AMORTIZACIÓN DE TÍTULOS VALORES</t>
  </si>
  <si>
    <t>8.01.01</t>
  </si>
  <si>
    <t>Amortización de títulos valores internos de corto plazo</t>
  </si>
  <si>
    <t>8.01.02</t>
  </si>
  <si>
    <t>Amortización de títulos valores internos de largo plazo</t>
  </si>
  <si>
    <t>8.01.03</t>
  </si>
  <si>
    <t>Amortización de títulos valores del sector externo de corto plazo</t>
  </si>
  <si>
    <t>8.01.04</t>
  </si>
  <si>
    <t>Amortización de títulos valores del sector externo de largo plazo</t>
  </si>
  <si>
    <t>8.02.01</t>
  </si>
  <si>
    <t>Amortización de préstamos del  Gobierno Central</t>
  </si>
  <si>
    <t>8.02.02</t>
  </si>
  <si>
    <t>Amortización de préstamos de Órganos Desconcentrados</t>
  </si>
  <si>
    <t>Amortización de préstamos de Instituciones Descentralizadas no Empresariales</t>
  </si>
  <si>
    <t>8.02.04</t>
  </si>
  <si>
    <t>Amortización de préstamos de  Gobiernos Locales</t>
  </si>
  <si>
    <t>8.02.05</t>
  </si>
  <si>
    <t>Amortización de préstamos de Empresas Públicas no Financieras</t>
  </si>
  <si>
    <t xml:space="preserve">Amortización de préstamos de Instituciones Públicas Financieras </t>
  </si>
  <si>
    <t>8.02.07</t>
  </si>
  <si>
    <t>Amortización de préstamos del Sector Privado</t>
  </si>
  <si>
    <t>8.02.08</t>
  </si>
  <si>
    <t>Amortización de préstamos de Sector Externo</t>
  </si>
  <si>
    <t>9.01</t>
  </si>
  <si>
    <t>CUENTAS ESPECIALES DIVERSAS</t>
  </si>
  <si>
    <t>9.01.01</t>
  </si>
  <si>
    <t>Gastos confidenciales</t>
  </si>
  <si>
    <t>9.02.01</t>
  </si>
  <si>
    <t>Sumas libres sin asignación presupuestaria</t>
  </si>
  <si>
    <t>Educativos culturales y deportivos  (Prog. Culturales)</t>
  </si>
  <si>
    <t>Educativos Culturales y deportivos (Programas deportivos)</t>
  </si>
  <si>
    <t>IV</t>
  </si>
  <si>
    <t>1-REF-004-0806</t>
  </si>
  <si>
    <t>1-REC-1261-0306</t>
  </si>
  <si>
    <t>BNCR</t>
  </si>
  <si>
    <t>Compra maquinaria Relleno Sanitario.</t>
  </si>
  <si>
    <t>II-16</t>
  </si>
  <si>
    <t>SUELDOS PARA CARGOS FIJOS</t>
  </si>
  <si>
    <t>JORNADA (HORAS)</t>
  </si>
  <si>
    <t>DETALLE DEL PUESTO</t>
  </si>
  <si>
    <t>SIN REDONDEAR</t>
  </si>
  <si>
    <t>DETALLE DE PAGO DE PROHIBICIÓN</t>
  </si>
  <si>
    <t>Alcalde Municipal</t>
  </si>
  <si>
    <t>Total plazas fijas</t>
  </si>
  <si>
    <t>TOTAL A PRESUPUESTAR SUELDOS PARA CARGOS FIJOS</t>
  </si>
  <si>
    <t>OBRAS URBANÍSTICAS</t>
  </si>
  <si>
    <t>SERVICIOS ESPECIALES</t>
  </si>
  <si>
    <t>AUMENTO</t>
  </si>
  <si>
    <t>Profesional 1B</t>
  </si>
  <si>
    <t>Profesional 1A</t>
  </si>
  <si>
    <t>TOTAL A PRESUPUESTAR SERVICIOS ESPECIALES</t>
  </si>
  <si>
    <t xml:space="preserve">Retribución por años servidos (anualidades ) </t>
  </si>
  <si>
    <t xml:space="preserve">Restricción del ejercicio liberal de la profesión (prohibición y dedicación exclusiva): </t>
  </si>
  <si>
    <t>Otros incentivos salariales:</t>
  </si>
  <si>
    <t>CUADRO Nº 3</t>
  </si>
  <si>
    <t>De acuerdo al artículo 20 del Código Municipal</t>
  </si>
  <si>
    <t xml:space="preserve"> </t>
  </si>
  <si>
    <t>SITUACIÓN</t>
  </si>
  <si>
    <t xml:space="preserve"> ACTUAL</t>
  </si>
  <si>
    <t>SALARIO MAYOR PAGADO</t>
  </si>
  <si>
    <t>Puesto:</t>
  </si>
  <si>
    <t>AUDITOR INTERNO</t>
  </si>
  <si>
    <t>Fecha de ingreso:</t>
  </si>
  <si>
    <t>05 de julio de 1975</t>
  </si>
  <si>
    <t>Salario base:</t>
  </si>
  <si>
    <t>Total anualidades</t>
  </si>
  <si>
    <t xml:space="preserve">Monto por anualidad </t>
  </si>
  <si>
    <t xml:space="preserve">Monto Total Anualidades   </t>
  </si>
  <si>
    <t>TOTAL SALARIO MAYOR PAGADO</t>
  </si>
  <si>
    <t>Más:</t>
  </si>
  <si>
    <t>TOTAL SALARIO MENSUAL</t>
  </si>
  <si>
    <t>TOTAL ANUAL</t>
  </si>
  <si>
    <t>OK REVISADO CON CUADRO</t>
  </si>
  <si>
    <t>ANEXO Nº 10</t>
  </si>
  <si>
    <t>PUESTO</t>
  </si>
  <si>
    <t>SALARIO BASE</t>
  </si>
  <si>
    <t>SUELDOS FIJOS</t>
  </si>
  <si>
    <t>Programa I</t>
  </si>
  <si>
    <t>Profesional 2B</t>
  </si>
  <si>
    <t>Profesional 2A</t>
  </si>
  <si>
    <t>Profesional  1A</t>
  </si>
  <si>
    <t>Programa II</t>
  </si>
  <si>
    <t>Programa III</t>
  </si>
  <si>
    <t>Detalle de Egresos Programa IV Partidas Específicas....................................................</t>
  </si>
  <si>
    <t>SUPERÁVIT ESPECÍFICO</t>
  </si>
  <si>
    <t>PROCEDIMIENTO DE CÁLCULO</t>
  </si>
  <si>
    <t>ANEXO Nº 11</t>
  </si>
  <si>
    <t>PAGO DE DEDICACIÓN EXCLUSIVA</t>
  </si>
  <si>
    <r>
      <t xml:space="preserve">10% </t>
    </r>
    <r>
      <rPr>
        <sz val="12"/>
        <rFont val="Times New Roman"/>
        <family val="1"/>
      </rPr>
      <t xml:space="preserve"> artículo 20 del C.M.</t>
    </r>
  </si>
  <si>
    <t>Depósito y Tratamiento de Basura</t>
  </si>
  <si>
    <t>3.1.1.0.00.00.0.0.000</t>
  </si>
  <si>
    <t>PRÉSTAMOS DIRECTOS</t>
  </si>
  <si>
    <t>3.1.1.3.00.00.0.0.000</t>
  </si>
  <si>
    <t>Préstamos directos de Instituciones Descentralizadas no Empresariales</t>
  </si>
  <si>
    <r>
      <t>Menos:</t>
    </r>
    <r>
      <rPr>
        <b/>
        <u/>
        <sz val="11"/>
        <rFont val="Times New Roman"/>
        <family val="1"/>
      </rPr>
      <t xml:space="preserve"> INGRESOS EXTRAORD.</t>
    </r>
  </si>
  <si>
    <t>***   Se incorporan en este monto las cuñas, avisos o comerciales en la prensa escrita.</t>
  </si>
  <si>
    <t>ANEXO No. 8</t>
  </si>
  <si>
    <t>Salario base por el 3%</t>
  </si>
  <si>
    <t>ANEXO No 9</t>
  </si>
  <si>
    <t>Reglamento Autónomo de Organización y Servicios.</t>
  </si>
  <si>
    <t>Monto del presupuesto ordinario</t>
  </si>
  <si>
    <t>Aporte Consejo Nac. de la Política Pública de la persona Joven</t>
  </si>
  <si>
    <t>Gestión Presupuestaria</t>
  </si>
  <si>
    <t>total asignado</t>
  </si>
  <si>
    <t>aumento</t>
  </si>
  <si>
    <t>PRESUPUESTO ORDINARIO AÑO ANT.</t>
  </si>
  <si>
    <t>% aumento</t>
  </si>
  <si>
    <t>1-RS-1237-0305-A</t>
  </si>
  <si>
    <t>Const. Relleno Sanitario</t>
  </si>
  <si>
    <t>Compra recolectores de basura.</t>
  </si>
  <si>
    <t>1.03.04</t>
  </si>
  <si>
    <t>Transporte de bienes</t>
  </si>
  <si>
    <t>1.03.07</t>
  </si>
  <si>
    <t>1.08.99</t>
  </si>
  <si>
    <t>Mantenimiento y reparación de otros equipos</t>
  </si>
  <si>
    <t>2.02.02</t>
  </si>
  <si>
    <t>Productos agroforestales</t>
  </si>
  <si>
    <t>2.03.05</t>
  </si>
  <si>
    <t>Materiales y productos de vidrio</t>
  </si>
  <si>
    <t>2.99.02</t>
  </si>
  <si>
    <t>Útiles y materiales médico, hospitalario y de investigación</t>
  </si>
  <si>
    <t>5.02</t>
  </si>
  <si>
    <t>CONSTRUCCIONES, ADICIONES Y MEJORAS</t>
  </si>
  <si>
    <t>Vías de comunicación terrestre</t>
  </si>
  <si>
    <t>5.02.99</t>
  </si>
  <si>
    <t>5.02.02</t>
  </si>
  <si>
    <t xml:space="preserve">PROGRAMA II </t>
  </si>
  <si>
    <t>SERVICIOS COMUNALES</t>
  </si>
  <si>
    <t xml:space="preserve">PROGRAMA III  </t>
  </si>
  <si>
    <t>08</t>
  </si>
  <si>
    <t>Servicio matadero</t>
  </si>
  <si>
    <t>10</t>
  </si>
  <si>
    <t>Servicios sociales complementarios (fondo específico sin asig. Presup.)</t>
  </si>
  <si>
    <t>Cuadro 1: Detalle  Origen y Aplicación de Recursos Específicos....................................................</t>
  </si>
  <si>
    <t>Cuadro 4: Detalle de la Deuda................................................................................</t>
  </si>
  <si>
    <t xml:space="preserve">                 Privadas sin fines de lucro ...............................................................</t>
  </si>
  <si>
    <t>Cuadro 5: Transferencias  Corrientes y  Capital a favor  de Entidades</t>
  </si>
  <si>
    <t>Anexo 2:   Detalle 20% Ingresos destinados a Gastos de Sanidad..........................................................................</t>
  </si>
  <si>
    <t>Anexo 6:   Aportes en Especie para Servicios y Proyectos Comunales.......................................................</t>
  </si>
  <si>
    <t>i</t>
  </si>
  <si>
    <t>ii</t>
  </si>
  <si>
    <t>PRESUPUESTO MUNICIPAL</t>
  </si>
  <si>
    <t>Cuadro 2: Estructura Organizacional...............................................................................</t>
  </si>
  <si>
    <t>Anexo 7:   Adquisición de Bienes y Servicios.......................................................</t>
  </si>
  <si>
    <t>Anexo 8:   Incentivos Salariales que se Reconocen.....................................</t>
  </si>
  <si>
    <t>Anexo 10: Relación de Puestos..................................................................</t>
  </si>
  <si>
    <t>Anexo 11: Pago de Prohibición..................................................................</t>
  </si>
  <si>
    <t>Anexo 12: Pago de Dedicación Exclusiva...................................................</t>
  </si>
  <si>
    <t>ANEXO Nº 12</t>
  </si>
  <si>
    <t xml:space="preserve">Aseo de Vías                                              </t>
  </si>
  <si>
    <t xml:space="preserve">Recolección de Basura                                   </t>
  </si>
  <si>
    <t xml:space="preserve">Cementerio                                                   </t>
  </si>
  <si>
    <t xml:space="preserve">Mercado                                                        </t>
  </si>
  <si>
    <t>05</t>
  </si>
  <si>
    <t xml:space="preserve">I </t>
  </si>
  <si>
    <t>CLASE</t>
  </si>
  <si>
    <t>TOTAL     
ANUAL</t>
  </si>
  <si>
    <t>TOTAL 
ANUAL</t>
  </si>
  <si>
    <t>1.1.3.2.01.04.0.0.000</t>
  </si>
  <si>
    <t>Impuestos específicos sobre bienes manufacturados</t>
  </si>
  <si>
    <t>EGRESOS PROGRAMA IV</t>
  </si>
  <si>
    <t>__________________________________</t>
  </si>
  <si>
    <t>17</t>
  </si>
  <si>
    <t>Mercado plazas y ferias</t>
  </si>
  <si>
    <t>Unidad Técnica, L.8114</t>
  </si>
  <si>
    <t>1.1.3.2.01.04.2.0.000</t>
  </si>
  <si>
    <t>2.4.1.1.02.00.0.0.000</t>
  </si>
  <si>
    <t>3.1.1.3.01.00.0.0.000</t>
  </si>
  <si>
    <t>3.1.1.3.02.00.0.0.000</t>
  </si>
  <si>
    <t>3.1.1.6.01.00.0.0.000</t>
  </si>
  <si>
    <t>3.3.2.1.00.00.0.0.000</t>
  </si>
  <si>
    <t>3.3.2.2.00.00.0.0.000</t>
  </si>
  <si>
    <t>Estacionamientos y terminal 
(terminal de buses)</t>
  </si>
  <si>
    <t>1.3.1.3.01.01.1.0.000</t>
  </si>
  <si>
    <t>Carrera Profesional</t>
  </si>
  <si>
    <t>10-14-30465153</t>
  </si>
  <si>
    <t>10-14-30469094</t>
  </si>
  <si>
    <t>Este porcentaje se calculará sobre el ingreso del servicio y será el que se haya determinado en los respectivos estudios de costos.</t>
  </si>
  <si>
    <t>LLENAR ESTE CUADRO PRIMERO</t>
  </si>
  <si>
    <r>
      <t xml:space="preserve">Licda. </t>
    </r>
    <r>
      <rPr>
        <u/>
        <sz val="11"/>
        <rFont val="Verdana"/>
        <family val="2"/>
      </rPr>
      <t>Vanessa Sobrado Esquivel</t>
    </r>
    <r>
      <rPr>
        <i/>
        <u/>
        <sz val="11"/>
        <rFont val="Verdana"/>
        <family val="2"/>
      </rPr>
      <t/>
    </r>
  </si>
  <si>
    <t>CARRERA PROFESIONAL</t>
  </si>
  <si>
    <t>Resolución DG-064-2008 y DG-006-2009.</t>
  </si>
  <si>
    <t>Solo por referencia</t>
  </si>
  <si>
    <t>FUNCIONARIO</t>
  </si>
  <si>
    <r>
      <t>Coord. Recursos Humanos</t>
    </r>
    <r>
      <rPr>
        <i/>
        <sz val="12"/>
        <rFont val="Times New Roman"/>
        <family val="1"/>
      </rPr>
      <t xml:space="preserve">    </t>
    </r>
  </si>
  <si>
    <t>Administrativo 1A</t>
  </si>
  <si>
    <t>0.01</t>
  </si>
  <si>
    <t>1.09</t>
  </si>
  <si>
    <t>1.99</t>
  </si>
  <si>
    <t>5.03</t>
  </si>
  <si>
    <t>DEC.Nº34325-H</t>
  </si>
  <si>
    <t>Mantenimiento de edificios, locales y terrenos</t>
  </si>
  <si>
    <t>Otros productos químicos y conexos</t>
  </si>
  <si>
    <t>Otros materiales y productos de uso en la construcción y mantenimiento</t>
  </si>
  <si>
    <t>Intereses sobre otras obligaciones</t>
  </si>
  <si>
    <t>3.04</t>
  </si>
  <si>
    <t>Maquinaria, equipo  y mobiliario diverso</t>
  </si>
  <si>
    <t>Impuestos por transferir</t>
  </si>
  <si>
    <t>Decimotercer mes de pensiones y jubilaciones</t>
  </si>
  <si>
    <t>Otras prestaciones</t>
  </si>
  <si>
    <t>31</t>
  </si>
  <si>
    <t>distritros</t>
  </si>
  <si>
    <t>Aportes es especie para servicios y proyectos comunitarios.</t>
  </si>
  <si>
    <t>1.3.1.2.09.06.0.0.000</t>
  </si>
  <si>
    <t>Servicios de publicidad e impresión</t>
  </si>
  <si>
    <t>1.3.9.0.00.00.0.0.000</t>
  </si>
  <si>
    <t>1.3.9.9.00.00.0.0.000</t>
  </si>
  <si>
    <t>OTROS INGRESOS NO TRIBUTARIOS</t>
  </si>
  <si>
    <t>Ingresos varios no específicados</t>
  </si>
  <si>
    <t>1.09.01</t>
  </si>
  <si>
    <t>EDIFICIOS</t>
  </si>
  <si>
    <t>INSTALACIONES</t>
  </si>
  <si>
    <t>xxxxx</t>
  </si>
  <si>
    <t>(servicio de romana)</t>
  </si>
  <si>
    <t>(multas infracción ley parquímetros)</t>
  </si>
  <si>
    <t>10-14-30512240</t>
  </si>
  <si>
    <t>Histórico</t>
  </si>
  <si>
    <t>Proceso Recursos Humanos</t>
  </si>
  <si>
    <t>NO ELIMINAR ESTE ARCHIVO</t>
  </si>
  <si>
    <t>AFECTA OTRAS HOJAS</t>
  </si>
  <si>
    <t>Vice-Alcalde Municipal</t>
  </si>
  <si>
    <t>Técnico 1B</t>
  </si>
  <si>
    <t>Técnico 1A</t>
  </si>
  <si>
    <t>Adminsitrativo 2A</t>
  </si>
  <si>
    <t>Adminsitrativo 1B</t>
  </si>
  <si>
    <t>Adminsitrativo 1A</t>
  </si>
  <si>
    <t>Operativo 2</t>
  </si>
  <si>
    <t>Operativo 1D</t>
  </si>
  <si>
    <t>Operativo 1C</t>
  </si>
  <si>
    <t>Operativo 1B</t>
  </si>
  <si>
    <t>Operativo 1A</t>
  </si>
  <si>
    <t xml:space="preserve">       TOTAL</t>
  </si>
  <si>
    <t>MONTO PRESUPUESTADO</t>
  </si>
  <si>
    <t>DIFERENCIA MENSUAL</t>
  </si>
  <si>
    <t>ASCENSO DIRECTO</t>
  </si>
  <si>
    <t>Seguridad Vial (parque seg. Vial)</t>
  </si>
  <si>
    <t>Adm.</t>
  </si>
  <si>
    <t>Servicio Estacionamientos y Terminal (Estacionómetros)</t>
  </si>
  <si>
    <t>PLAN ANUAL OPERATIVO……………………………………………………………</t>
  </si>
  <si>
    <t>**</t>
  </si>
  <si>
    <t>DETALLE GENERAL POR OBJETO DEL GASTO</t>
  </si>
  <si>
    <t>ok</t>
  </si>
  <si>
    <t>Reglamento para la ampliación del beneficio de Dedicación Exclusiva de la Municipalidad de Pérez Zeledón  y Reglamento Autónomo de Organización y Servicios de la Municipalidad de Pérez Zeledón</t>
  </si>
  <si>
    <t>Porcentaje aplicado sobre el salario base: 25% para Técnicos, 30% para bachilleres y 65% para Licenciados</t>
  </si>
  <si>
    <t>Porcentaje aplicado sobre el salario base,  20% paara bachiller universitarios y 55% para licenciados</t>
  </si>
  <si>
    <t>NUMERO
 DE
 PLAZAS</t>
  </si>
  <si>
    <t>SALARIO
BASE 
ACTUAL</t>
  </si>
  <si>
    <t>AUMENTO 
A LA 
BASE</t>
  </si>
  <si>
    <t>SALARIO 
BASE 
PROPUESTO</t>
  </si>
  <si>
    <t>MESES A 
RECONOCER</t>
  </si>
  <si>
    <t>MONTO A 
PRESUPUESTAR</t>
  </si>
  <si>
    <t>crédito matadero</t>
  </si>
  <si>
    <t>Dirección Técnica y Estudios</t>
  </si>
  <si>
    <t>Detalle General por Objeto del Gasto...........................................................</t>
  </si>
  <si>
    <t>Marco General..........................................................................................</t>
  </si>
  <si>
    <t>Estructura organizacional..........................................................................................</t>
  </si>
  <si>
    <t>Matriz de desempeño programático..........................................................................................</t>
  </si>
  <si>
    <t>I.1  Administración General</t>
  </si>
  <si>
    <t>I.2  Auditoria Interna</t>
  </si>
  <si>
    <t>1.3.1.2.03.00.0.0.000</t>
  </si>
  <si>
    <t>1.3.1.2.03.01.0.0.000</t>
  </si>
  <si>
    <t>SERVICIOS FINANCIEROS Y DE SEGUROS</t>
  </si>
  <si>
    <t xml:space="preserve">Servicios financieros  </t>
  </si>
  <si>
    <t>1.3.1.2.09.04.0.0.000</t>
  </si>
  <si>
    <t>Servicios Culturales y Recreativos</t>
  </si>
  <si>
    <t>1.3.1.3.02.00.0.0.000</t>
  </si>
  <si>
    <t>DERECHOS ADMINISTRATIVOS A OTROS SERVICIOS PÚBLICOS</t>
  </si>
  <si>
    <t>1.3.1.3.02.03.0.0.000</t>
  </si>
  <si>
    <t>Derechos administrativos a  Actividades Comerciales</t>
  </si>
  <si>
    <t>Transferencias corrientes de Instituciones Públicas  no Financieras</t>
  </si>
  <si>
    <t>1.4.1.5.00.00.0.0.000</t>
  </si>
  <si>
    <t>Transferencias corrientes de Instituciones Públicas Financieras</t>
  </si>
  <si>
    <t>1.4.1.6.00.00.0.0.000</t>
  </si>
  <si>
    <t>1.4.2.0.00.00.0.0.000</t>
  </si>
  <si>
    <t>TRANSFERENCIAS CORRIENTES DEL SECTOR PRIVADO</t>
  </si>
  <si>
    <t>Licda. Yetty Blanco Fernández</t>
  </si>
  <si>
    <r>
      <t>Elaborado  por:</t>
    </r>
    <r>
      <rPr>
        <i/>
        <sz val="12"/>
        <rFont val="Times New Roman"/>
        <family val="1"/>
      </rPr>
      <t xml:space="preserve">  Licda</t>
    </r>
    <r>
      <rPr>
        <i/>
        <u/>
        <sz val="12"/>
        <rFont val="Times New Roman"/>
        <family val="1"/>
      </rPr>
      <t>. Yetty Blanco Fernández</t>
    </r>
  </si>
  <si>
    <r>
      <t>Elaborado por:</t>
    </r>
    <r>
      <rPr>
        <i/>
        <sz val="12"/>
        <rFont val="Times New Roman"/>
        <family val="1"/>
      </rPr>
      <t xml:space="preserve"> </t>
    </r>
    <r>
      <rPr>
        <i/>
        <u/>
        <sz val="12"/>
        <rFont val="Times New Roman"/>
        <family val="1"/>
      </rPr>
      <t>Licda. Yetty Blanco Fernández</t>
    </r>
  </si>
  <si>
    <r>
      <t>Elaborado  por:</t>
    </r>
    <r>
      <rPr>
        <i/>
        <u/>
        <sz val="12"/>
        <rFont val="Times New Roman"/>
        <family val="1"/>
      </rPr>
      <t xml:space="preserve"> Licda. Yetty Blanco Fernández</t>
    </r>
  </si>
  <si>
    <t>Asignación mínima</t>
  </si>
  <si>
    <t>% aplicado a Dep.y Trat.Basura</t>
  </si>
  <si>
    <t>ANEXO No. 6</t>
  </si>
  <si>
    <t>APORTES EN ESPECIE PARA</t>
  </si>
  <si>
    <t>SERVICIOS Y PROYECTOS COMUNALES</t>
  </si>
  <si>
    <t>02.01.04</t>
  </si>
  <si>
    <t>02.03.03</t>
  </si>
  <si>
    <t>02.03.06</t>
  </si>
  <si>
    <t>#</t>
  </si>
  <si>
    <t>DISTRITO</t>
  </si>
  <si>
    <t>BENEFICIARIO</t>
  </si>
  <si>
    <t>NOMBRE DE LA OBRA</t>
  </si>
  <si>
    <t>PARTIDA</t>
  </si>
  <si>
    <t>San Isidro</t>
  </si>
  <si>
    <t>TOTAL ASIGNADO..............</t>
  </si>
  <si>
    <t>Servicio deficitario</t>
  </si>
  <si>
    <t>Gasto cubierto con otro ingreso del servicio</t>
  </si>
  <si>
    <t>Educativos culturales y Deportivos 
(Biblioteca Pública)</t>
  </si>
  <si>
    <t>Bacheo mecanizado en los distritos del Cantón. L.8114</t>
  </si>
  <si>
    <t>Sistemas de drenaje en Distritos del Cantón. L.8114</t>
  </si>
  <si>
    <t>Conservación y Mejoramiento de Superficies de Ruedo en los distritos del Cantón. L.8114</t>
  </si>
  <si>
    <t>02.01.99</t>
  </si>
  <si>
    <t>Tintas, pinturas y diluyentes</t>
  </si>
  <si>
    <t>Materiales y productos eléctricos y de cómputo</t>
  </si>
  <si>
    <t>Materiales y productos de plásticos</t>
  </si>
  <si>
    <t>3.1.1.6.02.00.0.0.000</t>
  </si>
  <si>
    <t>Construcción Relleno Sanitario, préstamo BNCR.</t>
  </si>
  <si>
    <t>Protección del Medio Ambiente</t>
  </si>
  <si>
    <t>Ingresos Festival Luces del Valle</t>
  </si>
  <si>
    <t>1.3.1.2.09.04.0.0.000
Servicios Culturales y Recreativos</t>
  </si>
  <si>
    <t>Educativos, Culturales y Deportivos (Festival Luces del Valle)</t>
  </si>
  <si>
    <t>1.3.1.3.02.03.9.0.000
Otros Derechos administrativos a actividades comerciales.</t>
  </si>
  <si>
    <t>1.4.1.5.00.00.0.0.000
Transferencias corrientes de Instituciones Públicas no Financieras. (ICE)</t>
  </si>
  <si>
    <t>1.4.1.6.00.00.0.0.000
Transferencias corrientes de Instituciones Públicas Financieras. (BNCR, BCAC Y BCR)</t>
  </si>
  <si>
    <t>1.4.2.0.00.00.0.0.000
Transferencias corrientes del Sector Privado</t>
  </si>
  <si>
    <t xml:space="preserve">Vice-Alcalde (sa) </t>
  </si>
  <si>
    <t>Vice-Alcalde (sa)</t>
  </si>
  <si>
    <t xml:space="preserve">Proveedor </t>
  </si>
  <si>
    <t>Profesional  1B</t>
  </si>
  <si>
    <t>ASCENSOS DIRECTOS</t>
  </si>
  <si>
    <t>Secretaria del Concejo</t>
  </si>
  <si>
    <t>Programador Sistemas</t>
  </si>
  <si>
    <t>Topógrafo</t>
  </si>
  <si>
    <t>Coord. C.I.A.T.</t>
  </si>
  <si>
    <t>Coord. Subproc. Servicios Mpls.</t>
  </si>
  <si>
    <t>Abogado Planific. Urbana</t>
  </si>
  <si>
    <t>Coordinador U.T.C.V.</t>
  </si>
  <si>
    <t>Director U.T.C.V.</t>
  </si>
  <si>
    <t>14% Impuesto bienes inmuebles L. Nº 7729</t>
  </si>
  <si>
    <t xml:space="preserve">24% Impuesto bienes inmuebles L. Nº 7509 </t>
  </si>
  <si>
    <t>Impuesto del cemento (destinado a obras)</t>
  </si>
  <si>
    <t>Utilidad comisión fiestas (ejercicio)</t>
  </si>
  <si>
    <t>Multa aprehensión animales</t>
  </si>
  <si>
    <t>Compensación zonas verdes</t>
  </si>
  <si>
    <t>Venta terrenos plan de lotificación</t>
  </si>
  <si>
    <t>Aportes capital sector privado</t>
  </si>
  <si>
    <t>Aporte de Municipalidades</t>
  </si>
  <si>
    <t>ocultas</t>
  </si>
  <si>
    <t>Transferencias corrientes instituciones públicas (festival Luces del Valle)</t>
  </si>
  <si>
    <t>Aportes corrientes sector privado para fines específ. (festival Luces del Valle)</t>
  </si>
  <si>
    <t>Suma aplicada según detalle siguiente:</t>
  </si>
  <si>
    <t>SERVICIO, PROYECTO
relacionado con sanidad</t>
  </si>
  <si>
    <t>CÓDIGO PRESUPUESTARIO</t>
  </si>
  <si>
    <t>MONTO 
PRESUPUESTADO</t>
  </si>
  <si>
    <t>(Artículo 47 Ley Nº5412-73)</t>
  </si>
  <si>
    <t>III-6-2</t>
  </si>
  <si>
    <t>Proyecto: Construcción Relleno Sanitario</t>
  </si>
  <si>
    <t>SALARIO BASE DEL ALCALDE</t>
  </si>
  <si>
    <r>
      <t xml:space="preserve">Elaborado  por:  </t>
    </r>
    <r>
      <rPr>
        <i/>
        <u/>
        <sz val="11"/>
        <rFont val="Times New Roman"/>
        <family val="1"/>
      </rPr>
      <t>Licda. Yetty Blanco Fernández</t>
    </r>
  </si>
  <si>
    <r>
      <t>Elaborado  por:</t>
    </r>
    <r>
      <rPr>
        <i/>
        <u/>
        <sz val="11"/>
        <rFont val="Times New Roman"/>
        <family val="1"/>
      </rPr>
      <t xml:space="preserve"> Licda. Yetty Blanco Fernández</t>
    </r>
  </si>
  <si>
    <r>
      <t>Elaborado  por:</t>
    </r>
    <r>
      <rPr>
        <i/>
        <u/>
        <sz val="13"/>
        <rFont val="Times New Roman"/>
        <family val="1"/>
      </rPr>
      <t xml:space="preserve"> Licda. Yetty Blanco Fernández</t>
    </r>
  </si>
  <si>
    <t xml:space="preserve">                               Gestión Presupuestaria</t>
  </si>
  <si>
    <t xml:space="preserve"> Licda. Vanessa Sobrado Esquivel    </t>
  </si>
  <si>
    <r>
      <t xml:space="preserve">80% </t>
    </r>
    <r>
      <rPr>
        <sz val="12"/>
        <rFont val="Times New Roman"/>
        <family val="1"/>
      </rPr>
      <t xml:space="preserve"> artículo 20 del C.M.</t>
    </r>
  </si>
  <si>
    <t>SALARIO BASE DE VICE- ALCALDE(SA)</t>
  </si>
  <si>
    <t>HISTÓRICO</t>
  </si>
  <si>
    <t>Coord. Proc. Asesoría Servicios Técnicos</t>
  </si>
  <si>
    <t>Asistente Valoraciones</t>
  </si>
  <si>
    <t>Coord. Oficina Salud Ocupacional</t>
  </si>
  <si>
    <t>Construcción aceras, atención L.7600</t>
  </si>
  <si>
    <t>Educativos Culturales y Deportivos
(prog. Cult. Y dep. rec. Propios)</t>
  </si>
  <si>
    <t>Gráficos………...........................................................................................</t>
  </si>
  <si>
    <t>VERIFICAR LAS FORM. OBRAS COLUMNA C</t>
  </si>
  <si>
    <t>2.4.1.2.00.00.0.0.000</t>
  </si>
  <si>
    <t>Transferencias de capital de Organos Desconcentrados</t>
  </si>
  <si>
    <t>FODESAF</t>
  </si>
  <si>
    <t>Presupuesto Ordinario 2013</t>
  </si>
  <si>
    <t xml:space="preserve">Del ingreso estimado por la prestación del servicio, se rebaja el porcentaje indicado por Gestión Tributaria que corresponde a la recuperación de los costos por el depósito y </t>
  </si>
  <si>
    <t>tratamiento de los desechos recolectados.</t>
  </si>
  <si>
    <t>III-6-4</t>
  </si>
  <si>
    <t>EJERCICIO ECONÓMICO 2013</t>
  </si>
  <si>
    <t>total % Jts Educ.</t>
  </si>
  <si>
    <t>gastos  administ. Terminal</t>
  </si>
  <si>
    <t>ing. Aplicado a dep. y trat. Basura menos el 10% gastos administ.</t>
  </si>
  <si>
    <t xml:space="preserve"> 10% gastos administ. del ing. Aplicado a dep. y trat. Basura menos</t>
  </si>
  <si>
    <t>calculadora</t>
  </si>
  <si>
    <t>gastos  administ. Parquim.</t>
  </si>
  <si>
    <t>Cierre Técnico vertedero municipal</t>
  </si>
  <si>
    <t xml:space="preserve">Seguridad Vial </t>
  </si>
  <si>
    <t>Urbanización Arizona</t>
  </si>
  <si>
    <t>1.4.1.2.01.00.0.0.000</t>
  </si>
  <si>
    <t>1.4.1.2.02.00.0.0.000</t>
  </si>
  <si>
    <t>Mejoramiento infraestructura vial de Pérez Zeledón.</t>
  </si>
  <si>
    <t>Educativos Culturales y Deportivos
(Polideportivo)</t>
  </si>
  <si>
    <t>Educativos Culturales y Deportivos
(Complejo Cultural)</t>
  </si>
  <si>
    <t>Educativos Culturales y Deportivos
(Biblioteca Municipal)</t>
  </si>
  <si>
    <t>Servicios sociales complementarios 
(Oficina de la Mujer)</t>
  </si>
  <si>
    <t>Mejoramiento infraestructura vial de Pérez Zeledón</t>
  </si>
  <si>
    <t>Proyecto: Cierre técnico del vertedero municipal</t>
  </si>
  <si>
    <t>PORCENTAJE DE AUMENTO APROBADO POR  EL CONCEJO</t>
  </si>
  <si>
    <t>Gastos de administración  P.O. 2012</t>
  </si>
  <si>
    <t>Monto</t>
  </si>
  <si>
    <t>Ejercicio Ordinario 2013</t>
  </si>
  <si>
    <t>CÁLCULO SALARIO DEL ALCALDE(SA) Y VICE-ALCALDE(SA) MUNICIPAL</t>
  </si>
  <si>
    <t xml:space="preserve">                                                             Coodinadora</t>
  </si>
  <si>
    <t>Construcción  Relleno Sanitario I etapa.</t>
  </si>
  <si>
    <t>PROHIBICIÓN</t>
  </si>
  <si>
    <t>DEDICACIÓN EXCLUSIVA</t>
  </si>
  <si>
    <t>RETRIBUCIÓN POR AÑOS SERVIDOS</t>
  </si>
  <si>
    <t xml:space="preserve">Cantidad de puntos asignados por ¢2.053,00. </t>
  </si>
  <si>
    <r>
      <t xml:space="preserve">Por Proceso de Recursos Humanos:   </t>
    </r>
    <r>
      <rPr>
        <sz val="10"/>
        <rFont val="Verdana"/>
        <family val="2"/>
      </rPr>
      <t xml:space="preserve"> Licda. Vanessa Sobrado Esquivel</t>
    </r>
  </si>
  <si>
    <t xml:space="preserve">                                                       Coordinadora</t>
  </si>
  <si>
    <t>2.99.5</t>
  </si>
  <si>
    <t>2.99.7</t>
  </si>
  <si>
    <t>Maquinaria, equipo y mobiliario diverso</t>
  </si>
  <si>
    <t>A.D.I San Agustín</t>
  </si>
  <si>
    <t>Mejoras del salón comunal de San Agustín</t>
  </si>
  <si>
    <t>Art. 19  Ley #3859</t>
  </si>
  <si>
    <t>Materiales y suministros</t>
  </si>
  <si>
    <t>A.D.I Ojo de Agua</t>
  </si>
  <si>
    <t xml:space="preserve">Mejoras en el salón comunal de Ojo de Agua </t>
  </si>
  <si>
    <t>A.D.I Bajo Las Esperanzas</t>
  </si>
  <si>
    <t>Cerrar con malla la plaza de deportes de Bajo las Esperanzas</t>
  </si>
  <si>
    <t>A.D.I Tierra Prometida</t>
  </si>
  <si>
    <t>Cementado calle principal de Tierra Prometida</t>
  </si>
  <si>
    <t>A.D.I Las Esperanzas</t>
  </si>
  <si>
    <t>Colocación de malla en la plaza de deportes de Las Esperanzas</t>
  </si>
  <si>
    <t>Daniel Flores</t>
  </si>
  <si>
    <t>A.D.I Barrio Los Ángeles</t>
  </si>
  <si>
    <t>Mejoras en el salón comunal de Barrio Los Ángeles</t>
  </si>
  <si>
    <t>Junta de Educ. Quebrada Honda</t>
  </si>
  <si>
    <t>Mejoras en la Escuela Quebrada Honda</t>
  </si>
  <si>
    <t>Art. 62 del Código Mpal</t>
  </si>
  <si>
    <t>A.D.I Barrio Las Brisas</t>
  </si>
  <si>
    <t>Construcción de malla en la plaza de deportes</t>
  </si>
  <si>
    <t>A.D. I Juntas de Pacuar</t>
  </si>
  <si>
    <t>Mejoras en la plaza de deportes de Las Juntas de Pacuar</t>
  </si>
  <si>
    <t>Junta de Educ. Escuela Hernán Rodríguez Ruiz</t>
  </si>
  <si>
    <t>Mejoras en las instalaciones de la Escuela Hernán Rodríguez Ruiz</t>
  </si>
  <si>
    <t>General</t>
  </si>
  <si>
    <t>A.D.I General Viejo</t>
  </si>
  <si>
    <t>I Etapa Cementado cuesta al cementerio de General Viejo</t>
  </si>
  <si>
    <t>A.D.I Santa Elena</t>
  </si>
  <si>
    <t>I Etapa ampliación puente La Achotera, Santa Elena</t>
  </si>
  <si>
    <t>A.D.I Peñas Blancas</t>
  </si>
  <si>
    <t>A.D.I La Hermosa</t>
  </si>
  <si>
    <t>I Etapa de los vestidores de la cancha de futbol de la Hermosa</t>
  </si>
  <si>
    <t>A.D.I Miraflores y Santa Cruz</t>
  </si>
  <si>
    <t>Compra de mobiliario para el salón comunal de Santa Cruz</t>
  </si>
  <si>
    <t>Rivas</t>
  </si>
  <si>
    <t>A.D.I Chimirol</t>
  </si>
  <si>
    <t>I Etapa de la cocina comunal de Chimirol</t>
  </si>
  <si>
    <t>A.D.I San Martín</t>
  </si>
  <si>
    <t>I Etapa de la construcción de la cocina comunal de San Martín</t>
  </si>
  <si>
    <t>A.D.I Guadalupe</t>
  </si>
  <si>
    <t>Mejoras salón comunal de Guadalupe</t>
  </si>
  <si>
    <t>San Pedro</t>
  </si>
  <si>
    <t>A.D.I Santo Domingo</t>
  </si>
  <si>
    <t>Mejoras en el salón comunal de Santo Domingo</t>
  </si>
  <si>
    <t xml:space="preserve">Junta de Educ. Escuela Tambor </t>
  </si>
  <si>
    <t xml:space="preserve">Renovación del sistema eléctrico de la Escuela de Tambor </t>
  </si>
  <si>
    <t>A.D.I San Jerónimo</t>
  </si>
  <si>
    <t>Continuación del cementado cuesta al beneficio San Jerónimo</t>
  </si>
  <si>
    <t>A.D.I Fátima</t>
  </si>
  <si>
    <t>Cementado entrada casa de salud Zapotal</t>
  </si>
  <si>
    <t>Junta de Educ. Escuela Cristo Rey</t>
  </si>
  <si>
    <t>Construcción de pasillo en la Escuela de Cristo Rey</t>
  </si>
  <si>
    <t>A.D.I San Pedro</t>
  </si>
  <si>
    <t>II Etapa construcción de malla en el salón comunal</t>
  </si>
  <si>
    <t>A.D.I Santiago</t>
  </si>
  <si>
    <t>Mejoras en el salón comunal de Santiago</t>
  </si>
  <si>
    <t>A.D.I Tambor</t>
  </si>
  <si>
    <t>Compra de material para construir moldes para confección de alcantarillas</t>
  </si>
  <si>
    <t>Junta de Educa Escuela La Guaria</t>
  </si>
  <si>
    <t xml:space="preserve">II Etapa batería sanitaria </t>
  </si>
  <si>
    <t>Art. 62 del Código Mal</t>
  </si>
  <si>
    <t>Pejibaye</t>
  </si>
  <si>
    <t>Junta de Educa. Escuela El Progreso</t>
  </si>
  <si>
    <t>Mantenimiento y Reparación Escuela El Progreso</t>
  </si>
  <si>
    <t>Junta de Educa. Escuela San Miguel</t>
  </si>
  <si>
    <t>Mantenimiento y Reparación salón de actos</t>
  </si>
  <si>
    <t>A.D.I Pejibaye</t>
  </si>
  <si>
    <t>Mejoras y Mantenimiento casa del adulto mayor de Pejibaye</t>
  </si>
  <si>
    <t>Junta de Educa. Escuela Bella Vista</t>
  </si>
  <si>
    <t xml:space="preserve">Mejoras y Mantenimiento en la infraestructura de la Escuela Bella Vista </t>
  </si>
  <si>
    <t xml:space="preserve">Junta de Educa. Escuela El Águila </t>
  </si>
  <si>
    <t>Mantenimiento, Reparación y Construcción de aceras en la Escuela El Águila</t>
  </si>
  <si>
    <t>Platanares</t>
  </si>
  <si>
    <t>A.D.I San Pablo</t>
  </si>
  <si>
    <t>Movimiento de tierra para futura construcción de la II Etapa del Salón Comunal de San Pablo</t>
  </si>
  <si>
    <t>Junta de Educa. Escuela Los Naranjos</t>
  </si>
  <si>
    <t xml:space="preserve">Compra de juegos recreativos para parque infantil </t>
  </si>
  <si>
    <t>A.D.I San Rafael</t>
  </si>
  <si>
    <t>Construcción de oficina del Consejo de Distrito de Platanares</t>
  </si>
  <si>
    <t>Cajón</t>
  </si>
  <si>
    <t>Asoc. Adulto Mayor Sector  de Cajón</t>
  </si>
  <si>
    <t>I Etapa construcción de l casa del adulto mayor de E Carmen</t>
  </si>
  <si>
    <t>A.D.I San Pedrito</t>
  </si>
  <si>
    <t>Arreglo del salón comunal de San Pedrito</t>
  </si>
  <si>
    <t>A.D.I Santa Teresa</t>
  </si>
  <si>
    <t>Equipamiento de la cocina comunal de Arco Iris</t>
  </si>
  <si>
    <t>A.D.I Las Mercedes</t>
  </si>
  <si>
    <t>Equipamiento de la cocina comunal de las Mercedes Arriba</t>
  </si>
  <si>
    <t>A.D.I El Pilar</t>
  </si>
  <si>
    <t xml:space="preserve">Construcción de vestidores en la cancha de fútbol </t>
  </si>
  <si>
    <t>A.D.I El Quemado</t>
  </si>
  <si>
    <t>Arreglo de la cocina comunal</t>
  </si>
  <si>
    <t xml:space="preserve">Junta Educa. Escuela Navajuelar </t>
  </si>
  <si>
    <t>I Etapa construcción de planché de deportes Escuela Navajuelar</t>
  </si>
  <si>
    <t>Junta Educa. Escuela Bajo Las Brisas</t>
  </si>
  <si>
    <t>Continuación de la construcción de malla frente Esc. Bajo Las Brisas</t>
  </si>
  <si>
    <t xml:space="preserve">Junta Educa. Escuela Renacer </t>
  </si>
  <si>
    <t>Continuación de la remodelación del Salón multiuso de la Escuela Renacer</t>
  </si>
  <si>
    <t>A.D.I Pueblo Nuevo</t>
  </si>
  <si>
    <t>Compra de utensilios para las cocinas de varias comunidades (Montecarlo, Quizarrá, Pueblo Nuevo, Santa María y El Carmen)</t>
  </si>
  <si>
    <t>Barú</t>
  </si>
  <si>
    <t>A.D.I San Salvador</t>
  </si>
  <si>
    <t>Reparar puente y alcantarillas (Quebrada Toño Oliva) en la comunidad de San Salvador</t>
  </si>
  <si>
    <t>A.D.I Valle del Guabo</t>
  </si>
  <si>
    <t>Construir cabezales sobre la ruta o camino Platanillo-Tres Piedras</t>
  </si>
  <si>
    <t>A.D.I San Cristóbal</t>
  </si>
  <si>
    <t>Cementado camino Vista de Mar de San Cristóbal</t>
  </si>
  <si>
    <t xml:space="preserve">Pintura del techo del redondel de San Juan de Dios </t>
  </si>
  <si>
    <t>Construcción I Etapa capilla del cementerio de La Florida de San Salvador</t>
  </si>
  <si>
    <t>Reparar puente sobre río Caña Blanca-Magnolia (Puente Eugenio Mora)</t>
  </si>
  <si>
    <t>Rio Nuevo</t>
  </si>
  <si>
    <t>A.D.I San Cayetano</t>
  </si>
  <si>
    <t xml:space="preserve">Cambio de zinc del salón comunal </t>
  </si>
  <si>
    <t>A.D.I California y Santa Lucia</t>
  </si>
  <si>
    <t>Mejoras cocina comunal de Santa Lucía</t>
  </si>
  <si>
    <t>A.D.I Savegre</t>
  </si>
  <si>
    <t>Compra de mobiliario para la cocina y salón comunal de Savegre</t>
  </si>
  <si>
    <t>A.D.I Calle Mora</t>
  </si>
  <si>
    <t>Cementado cuestas sectores San Vicente y La cuesta</t>
  </si>
  <si>
    <t>Páramo</t>
  </si>
  <si>
    <t>A.D.I Santo Tomas</t>
  </si>
  <si>
    <t>Compra de perling y zinc para salón multiuso</t>
  </si>
  <si>
    <t>A.D.I Valencia</t>
  </si>
  <si>
    <t xml:space="preserve">Mejoras salón multiuso de Valencia </t>
  </si>
  <si>
    <t>A.D.I Los Ángeles</t>
  </si>
  <si>
    <t>Compra de alcantarillas para pasos del distrito</t>
  </si>
  <si>
    <t>Junta de Educa. Escuela Jardín</t>
  </si>
  <si>
    <t>Mejoras salón multiuso de la Escuela Jardín</t>
  </si>
  <si>
    <t>A.D.I La Angostura</t>
  </si>
  <si>
    <t>Alumbrado plaza de futbol de La Angostura</t>
  </si>
  <si>
    <t>Ampliación del salón comunal de La Angostura</t>
  </si>
  <si>
    <t>Reserva</t>
  </si>
  <si>
    <t>Número de plazas</t>
  </si>
  <si>
    <t>Jornada (horas)</t>
  </si>
  <si>
    <t>Detalle por clase de puesto</t>
  </si>
  <si>
    <t>Salario base actual</t>
  </si>
  <si>
    <t>Aumento a la base</t>
  </si>
  <si>
    <t>Salario base propuesto</t>
  </si>
  <si>
    <t>Meses a reconocer</t>
  </si>
  <si>
    <t>Monto a presupuestar</t>
  </si>
  <si>
    <r>
      <t xml:space="preserve">Más: </t>
    </r>
    <r>
      <rPr>
        <b/>
        <u/>
        <sz val="10"/>
        <rFont val="Verdana"/>
        <family val="2"/>
      </rPr>
      <t>INCENTIVOS SALARIALES:</t>
    </r>
  </si>
  <si>
    <t>Retribución por años servidos (anualidades)</t>
  </si>
  <si>
    <t>Restricción del ejercicio liberal de la profesión (prohibición y dedicación exclusiva)</t>
  </si>
  <si>
    <t>Sobresueldos y Carrera Profesional</t>
  </si>
  <si>
    <t>fecha</t>
  </si>
  <si>
    <r>
      <t>Por Proceso de Recursos Humanos</t>
    </r>
    <r>
      <rPr>
        <sz val="10"/>
        <rFont val="Verdana"/>
        <family val="2"/>
      </rPr>
      <t xml:space="preserve">:   </t>
    </r>
    <r>
      <rPr>
        <u/>
        <sz val="10"/>
        <rFont val="Verdana"/>
        <family val="2"/>
      </rPr>
      <t>Licda. Vanessa Sobrado Esquivel</t>
    </r>
  </si>
  <si>
    <t>Clase</t>
  </si>
  <si>
    <t>Salario Base</t>
  </si>
  <si>
    <t>Diferencia Mensual</t>
  </si>
  <si>
    <t>Meses</t>
  </si>
  <si>
    <t>Alcalde (sa)</t>
  </si>
  <si>
    <t>Asesor en Servicios Técnicos</t>
  </si>
  <si>
    <t>Asesor Jurídico</t>
  </si>
  <si>
    <t>Asesor Servicios Informáticos</t>
  </si>
  <si>
    <t xml:space="preserve">Técnico </t>
  </si>
  <si>
    <t>Coord. Actualización Catastral</t>
  </si>
  <si>
    <t>Coord. Cobro Administrativo</t>
  </si>
  <si>
    <t>Coord. Gestión Catastral</t>
  </si>
  <si>
    <t>Coord. Gestión Presupuestaria</t>
  </si>
  <si>
    <t>Coord. Gestión Tributaria</t>
  </si>
  <si>
    <t>Coord. Hacienda Municipal</t>
  </si>
  <si>
    <t>Coord. Licencias y Patentes</t>
  </si>
  <si>
    <t>Coord. Control y Seg. Ciudad.</t>
  </si>
  <si>
    <t>Coord. Planif. Urb. y Cont.Const.</t>
  </si>
  <si>
    <r>
      <t>Por Proceso de Recursos Humanos:</t>
    </r>
    <r>
      <rPr>
        <sz val="10"/>
        <rFont val="Verdana"/>
        <family val="2"/>
      </rPr>
      <t xml:space="preserve">   </t>
    </r>
    <r>
      <rPr>
        <u/>
        <sz val="10"/>
        <rFont val="Verdana"/>
        <family val="2"/>
      </rPr>
      <t xml:space="preserve"> Licda. Vanessa Sobrado Esquivel</t>
    </r>
  </si>
  <si>
    <t xml:space="preserve">                                                                       Coordinadora</t>
  </si>
  <si>
    <t>Asistente Gestión Presupuestaria</t>
  </si>
  <si>
    <t>Asistente Vice-Alcaldía</t>
  </si>
  <si>
    <t>Coord. Archivo Municipal</t>
  </si>
  <si>
    <t>Coord. Asesoría Social Psicológica</t>
  </si>
  <si>
    <t>Coord. Planificación Institucional</t>
  </si>
  <si>
    <t>Coord. Plantel Municipal</t>
  </si>
  <si>
    <t>Coord. Recursos Humanos</t>
  </si>
  <si>
    <t>Coord.Proc.Des.Cont.Urba.Serv.Mpls.</t>
  </si>
  <si>
    <t>Coord. Biblioteca Municipal</t>
  </si>
  <si>
    <t>Coord. Obras Municipales</t>
  </si>
  <si>
    <t>Coord. Protec. Medio Ambiente</t>
  </si>
  <si>
    <t>Coord. Trat. Desechos Sólidos</t>
  </si>
  <si>
    <t>Encargada Oficina de la Mujer</t>
  </si>
  <si>
    <t>Ingeniero Ambiental</t>
  </si>
  <si>
    <t xml:space="preserve">Coord. Promoción Social </t>
  </si>
  <si>
    <t>Contralor de Servicios</t>
  </si>
  <si>
    <t>Asesor Alcaldía (118)</t>
  </si>
  <si>
    <t>Coord.Despacho (118)</t>
  </si>
  <si>
    <t>Ing. Alcaldía (118)</t>
  </si>
  <si>
    <t>Ing. Proyectos BID (118)</t>
  </si>
  <si>
    <t>Asesor Concejo (118)</t>
  </si>
  <si>
    <r>
      <t>Por Proceso de Recursos Humanos:</t>
    </r>
    <r>
      <rPr>
        <sz val="10"/>
        <rFont val="Verdana"/>
        <family val="2"/>
      </rPr>
      <t xml:space="preserve">  </t>
    </r>
    <r>
      <rPr>
        <u/>
        <sz val="10"/>
        <rFont val="Verdana"/>
        <family val="2"/>
      </rPr>
      <t xml:space="preserve"> Licda. Vanessa Sobrado Esquivel</t>
    </r>
  </si>
  <si>
    <t xml:space="preserve">                                                              Coordinadora</t>
  </si>
  <si>
    <t>1-RS-1358-0612 **</t>
  </si>
  <si>
    <t>** Período de gracia</t>
  </si>
  <si>
    <t>SESIONES
ORDI-EXTRA</t>
  </si>
  <si>
    <r>
      <rPr>
        <b/>
        <sz val="11"/>
        <rFont val="Times New Roman"/>
        <family val="1"/>
      </rPr>
      <t>Menos:</t>
    </r>
    <r>
      <rPr>
        <sz val="11"/>
        <rFont val="Times New Roman"/>
        <family val="1"/>
      </rPr>
      <t xml:space="preserve"> Maquinaria y equipo y Amortización de la deuda.</t>
    </r>
  </si>
  <si>
    <t>Maquinaria y equipo cargado al servicio</t>
  </si>
  <si>
    <t xml:space="preserve"> Amortización de la deuda del servicio</t>
  </si>
  <si>
    <t>1.1.3.2.02.03.9.0.000</t>
  </si>
  <si>
    <t>1.1.3.3.01.02.0.0.000</t>
  </si>
  <si>
    <t>1.1.9.1.01.00.0.0.000</t>
  </si>
  <si>
    <t>Patentes de licores</t>
  </si>
  <si>
    <t>Patentes municipales</t>
  </si>
  <si>
    <t>Timbres Municipales (por hipotecas y cédulas hipotecarias)</t>
  </si>
  <si>
    <t>Servicios financieros</t>
  </si>
  <si>
    <t>Ingreso estim.</t>
  </si>
  <si>
    <t>aplicar al servicio</t>
  </si>
  <si>
    <t>1.3.3.1.09.09.0.0.000</t>
  </si>
  <si>
    <t>Multas varias</t>
  </si>
  <si>
    <t>Intereses moratorios por atraso en pago de impuestos</t>
  </si>
  <si>
    <t>1.3.9.9.09.00.0.0.000</t>
  </si>
  <si>
    <t>Otros ingresos varios no específicados.</t>
  </si>
  <si>
    <t>Gast. Adm.</t>
  </si>
  <si>
    <t>difer.</t>
  </si>
  <si>
    <t>Impuesto sobre el patrimonio (timbres municipales const. Sociedades)</t>
  </si>
  <si>
    <t>Impuesto sobre traspasos de bienes inmuebles (timbres municipales)</t>
  </si>
  <si>
    <t>asignación total a gastos de administración</t>
  </si>
  <si>
    <t>Otros impuestos específicos a los servicios de diversión y esparcimiento (esp. Públ. 5%).</t>
  </si>
  <si>
    <t>Auditoria Interna</t>
  </si>
  <si>
    <t>Administración de inversiones propias</t>
  </si>
  <si>
    <t>Registro de deudas fondos y transf.</t>
  </si>
  <si>
    <t>Mercado plazas y ferias
 (campo exposiciones)</t>
  </si>
  <si>
    <t>Educativos y culturales (complejo cultural)</t>
  </si>
  <si>
    <t>Servicios sociales y complementarios (of. Mujer -genero y niñez)</t>
  </si>
  <si>
    <t>ll</t>
  </si>
  <si>
    <t>Mantenimiento de edificios</t>
  </si>
  <si>
    <t>Multa por atraso en pago de impuestos</t>
  </si>
  <si>
    <t>Educativos culturales y deportivos (prog. Rec. Propios)</t>
  </si>
  <si>
    <t>Servicios sociales complementarios (Bolsa empleo)</t>
  </si>
  <si>
    <t>Educativos culturales y deportivos (Polideportivo)</t>
  </si>
  <si>
    <t>Servicios Sociales Complementarios (ofic. Inform. Turística)</t>
  </si>
  <si>
    <t>Instalación cámaras de vigilancia</t>
  </si>
  <si>
    <t>Atención emergencias Cantonales</t>
  </si>
  <si>
    <t>Patentes de licores (remate)</t>
  </si>
  <si>
    <t>SALDO AL
30-07-12</t>
  </si>
  <si>
    <t>DETALLE DE ORIGEN Y APLICACIÓN DE RECURSOS</t>
  </si>
  <si>
    <t>CÓDIGO                    INGRESO</t>
  </si>
  <si>
    <t>Yo,  Licda.Yetty Blanco Fernández, cédula de identidad 1-663-763,  hago constar que los datos suministrados anteriormente corresponden a las aplicaciones presupuestarias dadas por la Municipalidad a la totalidad de los recursos  incorporados en el presupuesto ordinario del ejercicio económico 2013.</t>
  </si>
  <si>
    <t>Salario de Vice Alcaldesa</t>
  </si>
  <si>
    <t>Otros insentivos salariales (Sobresueldo):</t>
  </si>
  <si>
    <t>SALARIO BASE DE LA ALCALDESA</t>
  </si>
  <si>
    <r>
      <t xml:space="preserve">Restricción del ejercicio liberal de la profesión 65%
</t>
    </r>
    <r>
      <rPr>
        <sz val="10"/>
        <rFont val="Times New Roman"/>
        <family val="1"/>
      </rPr>
      <t>(L. 8422 Corrupción y enriquecimiento ílicito)</t>
    </r>
  </si>
  <si>
    <t>Cuadro 3: Cálculo Salario Alcaldesa y Vice  Alcaldesa  Municipal......................................................</t>
  </si>
  <si>
    <r>
      <t xml:space="preserve">Restricción del ejercicio liberal de la profesión 65%
</t>
    </r>
    <r>
      <rPr>
        <sz val="10"/>
        <rFont val="Times New Roman"/>
        <family val="1"/>
      </rPr>
      <t>(L. 8292 General de  Control Interno)</t>
    </r>
  </si>
  <si>
    <t>Transferencias de capital</t>
  </si>
  <si>
    <r>
      <t>Suma que se debe aplicar a gastos de sanidad</t>
    </r>
    <r>
      <rPr>
        <sz val="12"/>
        <rFont val="Times New Roman"/>
        <family val="1"/>
      </rPr>
      <t xml:space="preserve"> (</t>
    </r>
    <r>
      <rPr>
        <sz val="10"/>
        <rFont val="Times New Roman"/>
        <family val="1"/>
      </rPr>
      <t>20% de los recursos propios</t>
    </r>
    <r>
      <rPr>
        <sz val="12"/>
        <rFont val="Times New Roman"/>
        <family val="1"/>
      </rPr>
      <t>)</t>
    </r>
  </si>
  <si>
    <t>Vº Bº Alcaldesa</t>
  </si>
  <si>
    <t>Licda. Vera Corrales Blanco</t>
  </si>
  <si>
    <t>CONTRIBUCIONES PATRONALES DECIMOTERCER MES Y SEGUROS</t>
  </si>
  <si>
    <t>DECIMOTERCER MES</t>
  </si>
  <si>
    <t>Monto de Cálculo</t>
  </si>
  <si>
    <t>INS</t>
  </si>
  <si>
    <t>Evaluación POA</t>
  </si>
  <si>
    <t>Setiembre 2012</t>
  </si>
  <si>
    <t>-Ley No.5867 "Ley de Prohibición".
-Ley Nº 8292 "Ley de Control Interno".
-Ley  Nº 8422 Ley contra la corrupción y el enriquecimiento ilícito en la función pública.
-Código de Normas y Procedimientos Tributarios.</t>
  </si>
  <si>
    <t>Compra de cámaras de enfriamiento para la Asoc. De Desarrollo de Peñas Blancas.</t>
  </si>
  <si>
    <t>Registro de deudas fondos y transf. (fondo procesos  Cont. Adm.)</t>
  </si>
  <si>
    <t>Construcción Graderías cancha El Cañaveral, Daniel Flores.</t>
  </si>
  <si>
    <t>Servicios Sociales Complementarios (acondicion. Centro de cuido)</t>
  </si>
  <si>
    <t>Construcción Centro de Cuido Infantil (FODESAF)</t>
  </si>
  <si>
    <t>90</t>
  </si>
  <si>
    <t>PROYECCIÓN PLURIANUAL</t>
  </si>
  <si>
    <t>menos recursos no ordinarios</t>
  </si>
  <si>
    <t>RED DE CUIDO</t>
  </si>
  <si>
    <t>RELLENO SANITARIO</t>
  </si>
  <si>
    <t>RECURSOS NO ORDINARIOS</t>
  </si>
  <si>
    <t>CGR</t>
  </si>
  <si>
    <r>
      <t>Por Proceso de Recuros Humanos:</t>
    </r>
    <r>
      <rPr>
        <sz val="12"/>
        <rFont val="Times New Roman"/>
        <family val="1"/>
      </rPr>
      <t xml:space="preserve">    </t>
    </r>
    <r>
      <rPr>
        <u/>
        <sz val="12"/>
        <rFont val="Times New Roman"/>
        <family val="1"/>
      </rPr>
      <t>Licda. Vanessa Sobrado Esquivel</t>
    </r>
  </si>
  <si>
    <t xml:space="preserve">Sumatoria </t>
  </si>
  <si>
    <t>asignado en detalle de gastos</t>
  </si>
  <si>
    <t>amortización</t>
  </si>
  <si>
    <t>por servicio</t>
  </si>
  <si>
    <t>Seguridad Vial (parque)</t>
  </si>
  <si>
    <t>Educativos culturales y deportivos (Biblioteca)</t>
  </si>
  <si>
    <t>Mercado plazas y ferias
 (Mercado)</t>
  </si>
  <si>
    <t>Coord. Mercado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</si>
</sst>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71" formatCode="_-* #,##0.00\ _€_-;\-* #,##0.00\ _€_-;_-* &quot;-&quot;??\ _€_-;_-@_-"/>
    <numFmt numFmtId="172" formatCode="_(&quot;¢&quot;* #,##0_);_(&quot;¢&quot;* \(#,##0\);_(&quot;¢&quot;* &quot;-&quot;_);_(@_)"/>
    <numFmt numFmtId="175" formatCode="0_)"/>
    <numFmt numFmtId="176" formatCode="#,##0.00;[Red]#,##0.00"/>
    <numFmt numFmtId="177" formatCode="0.0"/>
    <numFmt numFmtId="179" formatCode="_([$€]* #,##0.00_);_([$€]* \(#,##0.00\);_([$€]* &quot;-&quot;??_);_(@_)"/>
    <numFmt numFmtId="180" formatCode="dd\-mm\-yy"/>
    <numFmt numFmtId="181" formatCode="d\-m\-yy"/>
    <numFmt numFmtId="183" formatCode="\$#.00"/>
    <numFmt numFmtId="184" formatCode="#.00"/>
    <numFmt numFmtId="186" formatCode="#."/>
    <numFmt numFmtId="194" formatCode="_(&quot;N$&quot;* #,##0_);_(&quot;N$&quot;* \(#,##0\);_(&quot;N$&quot;* &quot;-&quot;_);_(@_)"/>
    <numFmt numFmtId="211" formatCode="_(* #,##0.000_);_(* \(#,##0.000\);_(* &quot;-&quot;??_);_(@_)"/>
    <numFmt numFmtId="212" formatCode="#,##0.00_ ;[Red]\-#,##0.00\ "/>
    <numFmt numFmtId="213" formatCode="_(* #,##0.0000_);_(* \(#,##0.0000\);_(* &quot;-&quot;??_);_(@_)"/>
    <numFmt numFmtId="218" formatCode="0_);\(0\)"/>
  </numFmts>
  <fonts count="187">
    <font>
      <sz val="12"/>
      <name val="Times New Roman"/>
    </font>
    <font>
      <sz val="12"/>
      <name val="Times New Roman"/>
    </font>
    <font>
      <b/>
      <sz val="12"/>
      <name val="Times New Roman"/>
      <family val="1"/>
    </font>
    <font>
      <b/>
      <sz val="12"/>
      <name val="Times New Roman"/>
      <family val="1"/>
    </font>
    <font>
      <b/>
      <u/>
      <sz val="18"/>
      <name val="Algerian"/>
      <family val="5"/>
    </font>
    <font>
      <sz val="12"/>
      <name val="Times New Roman"/>
      <family val="1"/>
    </font>
    <font>
      <b/>
      <u/>
      <sz val="18"/>
      <name val="Aldine721 BT"/>
      <family val="1"/>
    </font>
    <font>
      <u/>
      <sz val="16"/>
      <name val="Algerian"/>
      <family val="5"/>
    </font>
    <font>
      <b/>
      <sz val="13"/>
      <name val="Times New Roman"/>
      <family val="1"/>
    </font>
    <font>
      <sz val="13"/>
      <name val="Times New Roman"/>
      <family val="1"/>
    </font>
    <font>
      <b/>
      <sz val="14"/>
      <name val="Times New Roman"/>
      <family val="1"/>
    </font>
    <font>
      <b/>
      <sz val="14"/>
      <name val="Times New Roman"/>
      <family val="1"/>
    </font>
    <font>
      <sz val="10"/>
      <name val="Arial"/>
      <family val="2"/>
    </font>
    <font>
      <b/>
      <i/>
      <sz val="20"/>
      <name val="Stuyvesant BT"/>
      <family val="4"/>
    </font>
    <font>
      <b/>
      <u/>
      <sz val="12"/>
      <name val="Times New Roman"/>
      <family val="1"/>
    </font>
    <font>
      <sz val="10"/>
      <name val="Times New Roman"/>
      <family val="1"/>
    </font>
    <font>
      <b/>
      <u/>
      <sz val="13"/>
      <name val="Times New Roman"/>
      <family val="1"/>
    </font>
    <font>
      <sz val="14"/>
      <name val="Times New Roman"/>
      <family val="1"/>
    </font>
    <font>
      <b/>
      <u/>
      <sz val="14"/>
      <name val="Times New Roman"/>
      <family val="1"/>
    </font>
    <font>
      <b/>
      <u val="singleAccounting"/>
      <sz val="12"/>
      <name val="Times New Roman"/>
      <family val="1"/>
    </font>
    <font>
      <sz val="11"/>
      <name val="Times New Roman"/>
      <family val="1"/>
    </font>
    <font>
      <b/>
      <sz val="11"/>
      <name val="Times New Roman"/>
      <family val="1"/>
    </font>
    <font>
      <b/>
      <sz val="10"/>
      <name val="Times New Roman"/>
      <family val="1"/>
    </font>
    <font>
      <sz val="24"/>
      <name val="Algerian"/>
      <family val="5"/>
    </font>
    <font>
      <sz val="36"/>
      <name val="Algerian"/>
      <family val="5"/>
    </font>
    <font>
      <sz val="9"/>
      <name val="Times New Roman"/>
      <family val="1"/>
    </font>
    <font>
      <sz val="46"/>
      <name val="Arrus Blk BT"/>
      <family val="1"/>
    </font>
    <font>
      <sz val="10"/>
      <name val="Algerian"/>
      <family val="5"/>
    </font>
    <font>
      <sz val="11"/>
      <name val="Times New Roman"/>
      <family val="1"/>
    </font>
    <font>
      <b/>
      <sz val="12"/>
      <color indexed="10"/>
      <name val="Times New Roman"/>
      <family val="1"/>
    </font>
    <font>
      <u/>
      <sz val="11"/>
      <name val="Algerian"/>
      <family val="5"/>
    </font>
    <font>
      <b/>
      <i/>
      <u/>
      <sz val="20"/>
      <name val="Algerian"/>
      <family val="5"/>
    </font>
    <font>
      <b/>
      <sz val="12"/>
      <name val="Algerian"/>
      <family val="5"/>
    </font>
    <font>
      <b/>
      <sz val="24"/>
      <name val="Algerian"/>
      <family val="5"/>
    </font>
    <font>
      <b/>
      <sz val="12"/>
      <name val="American Classic Extra Bold"/>
      <family val="1"/>
    </font>
    <font>
      <i/>
      <u/>
      <sz val="12"/>
      <name val="Times New Roman"/>
      <family val="1"/>
    </font>
    <font>
      <b/>
      <i/>
      <sz val="20"/>
      <name val="Times New Roman"/>
      <family val="1"/>
    </font>
    <font>
      <b/>
      <sz val="9"/>
      <name val="Times New Roman"/>
      <family val="1"/>
    </font>
    <font>
      <b/>
      <u/>
      <sz val="16"/>
      <name val="Times New Roman"/>
      <family val="1"/>
    </font>
    <font>
      <sz val="12"/>
      <name val="Times New Roman"/>
      <family val="1"/>
    </font>
    <font>
      <b/>
      <i/>
      <sz val="12"/>
      <name val="Times New Roman"/>
      <family val="1"/>
    </font>
    <font>
      <b/>
      <sz val="16"/>
      <name val="American Classic Extra Bold"/>
    </font>
    <font>
      <b/>
      <sz val="14"/>
      <name val="American Classic Extra Bold"/>
    </font>
    <font>
      <sz val="8"/>
      <name val="Times New Roman"/>
      <family val="1"/>
    </font>
    <font>
      <b/>
      <u/>
      <sz val="14"/>
      <name val="Arial"/>
      <family val="2"/>
    </font>
    <font>
      <sz val="12"/>
      <color indexed="10"/>
      <name val="Times New Roman"/>
      <family val="1"/>
    </font>
    <font>
      <sz val="12"/>
      <color indexed="10"/>
      <name val="Times New Roman"/>
      <family val="1"/>
    </font>
    <font>
      <b/>
      <sz val="10"/>
      <name val="Arial"/>
      <family val="2"/>
    </font>
    <font>
      <sz val="10"/>
      <name val="Arial"/>
      <family val="2"/>
    </font>
    <font>
      <b/>
      <i/>
      <u val="double"/>
      <sz val="13"/>
      <name val="Times New Roman"/>
      <family val="1"/>
    </font>
    <font>
      <b/>
      <u val="doubleAccounting"/>
      <sz val="12"/>
      <name val="Times New Roman"/>
      <family val="1"/>
    </font>
    <font>
      <b/>
      <u/>
      <sz val="11"/>
      <name val="Times New Roman"/>
      <family val="1"/>
    </font>
    <font>
      <b/>
      <u val="singleAccounting"/>
      <sz val="11"/>
      <name val="Times New Roman"/>
      <family val="1"/>
    </font>
    <font>
      <b/>
      <i/>
      <u/>
      <sz val="13"/>
      <name val="Times New Roman"/>
      <family val="1"/>
    </font>
    <font>
      <sz val="12"/>
      <name val="Arial"/>
      <family val="2"/>
    </font>
    <font>
      <b/>
      <sz val="12"/>
      <name val="Arial"/>
      <family val="2"/>
    </font>
    <font>
      <b/>
      <sz val="11"/>
      <name val="Arial"/>
      <family val="2"/>
    </font>
    <font>
      <sz val="11"/>
      <color indexed="10"/>
      <name val="Times New Roman"/>
      <family val="1"/>
    </font>
    <font>
      <b/>
      <sz val="11"/>
      <color indexed="10"/>
      <name val="Times New Roman"/>
      <family val="1"/>
    </font>
    <font>
      <sz val="8"/>
      <color indexed="81"/>
      <name val="Tahoma"/>
      <family val="2"/>
    </font>
    <font>
      <b/>
      <sz val="8"/>
      <color indexed="81"/>
      <name val="Tahoma"/>
      <family val="2"/>
    </font>
    <font>
      <sz val="10"/>
      <color indexed="81"/>
      <name val="Tahoma"/>
      <family val="2"/>
    </font>
    <font>
      <b/>
      <u/>
      <sz val="9"/>
      <color indexed="81"/>
      <name val="Tahoma"/>
      <family val="2"/>
    </font>
    <font>
      <sz val="9"/>
      <color indexed="81"/>
      <name val="Tahoma"/>
      <family val="2"/>
    </font>
    <font>
      <b/>
      <sz val="9"/>
      <color indexed="81"/>
      <name val="Tahoma"/>
      <family val="2"/>
    </font>
    <font>
      <sz val="10"/>
      <color indexed="10"/>
      <name val="Times New Roman"/>
      <family val="1"/>
    </font>
    <font>
      <sz val="8"/>
      <color indexed="81"/>
      <name val="Tahoma"/>
      <family val="2"/>
    </font>
    <font>
      <b/>
      <sz val="11"/>
      <color indexed="12"/>
      <name val="Times New Roman"/>
      <family val="1"/>
    </font>
    <font>
      <sz val="12"/>
      <name val="Times New Roman"/>
      <family val="1"/>
    </font>
    <font>
      <b/>
      <i/>
      <u/>
      <sz val="12"/>
      <name val="Times New Roman"/>
      <family val="1"/>
    </font>
    <font>
      <sz val="11"/>
      <name val="Arial"/>
      <family val="2"/>
    </font>
    <font>
      <b/>
      <sz val="10"/>
      <name val="Arial,Bold"/>
    </font>
    <font>
      <b/>
      <sz val="9"/>
      <name val="Arial,Bold"/>
    </font>
    <font>
      <sz val="9"/>
      <name val="Arial"/>
      <family val="2"/>
    </font>
    <font>
      <b/>
      <u/>
      <sz val="13"/>
      <name val="Arial"/>
      <family val="2"/>
    </font>
    <font>
      <b/>
      <sz val="13"/>
      <name val="Arial"/>
      <family val="2"/>
    </font>
    <font>
      <b/>
      <sz val="10"/>
      <name val="Arial"/>
      <family val="2"/>
    </font>
    <font>
      <b/>
      <sz val="14"/>
      <color indexed="12"/>
      <name val="Times New Roman"/>
      <family val="1"/>
    </font>
    <font>
      <sz val="14"/>
      <name val="Arial"/>
      <family val="2"/>
    </font>
    <font>
      <b/>
      <sz val="14"/>
      <name val="Arial"/>
      <family val="2"/>
    </font>
    <font>
      <i/>
      <sz val="12"/>
      <name val="Times New Roman"/>
      <family val="1"/>
    </font>
    <font>
      <b/>
      <sz val="10"/>
      <name val="Tahoma"/>
      <family val="2"/>
    </font>
    <font>
      <sz val="12"/>
      <name val="Tahoma"/>
      <family val="2"/>
    </font>
    <font>
      <sz val="14"/>
      <name val="Baskerville Old Face"/>
      <family val="1"/>
    </font>
    <font>
      <u/>
      <sz val="12"/>
      <name val="Times New Roman"/>
      <family val="1"/>
    </font>
    <font>
      <sz val="11.5"/>
      <name val="Arial"/>
      <family val="2"/>
    </font>
    <font>
      <b/>
      <u val="double"/>
      <sz val="10"/>
      <name val="Arial"/>
      <family val="2"/>
    </font>
    <font>
      <b/>
      <u/>
      <sz val="10"/>
      <name val="Arial"/>
      <family val="2"/>
    </font>
    <font>
      <u val="singleAccounting"/>
      <sz val="10"/>
      <name val="Arial"/>
      <family val="2"/>
    </font>
    <font>
      <b/>
      <u val="singleAccounting"/>
      <sz val="10"/>
      <name val="Arial"/>
      <family val="2"/>
    </font>
    <font>
      <sz val="11"/>
      <name val="Arial"/>
      <family val="2"/>
    </font>
    <font>
      <b/>
      <sz val="9"/>
      <name val="Arial"/>
      <family val="2"/>
    </font>
    <font>
      <sz val="9"/>
      <name val="Arial"/>
      <family val="2"/>
    </font>
    <font>
      <b/>
      <u/>
      <sz val="11"/>
      <name val="Arial"/>
      <family val="2"/>
    </font>
    <font>
      <b/>
      <sz val="8"/>
      <name val="Arial"/>
      <family val="2"/>
    </font>
    <font>
      <b/>
      <u/>
      <sz val="9"/>
      <name val="Arial"/>
      <family val="2"/>
    </font>
    <font>
      <b/>
      <u/>
      <sz val="9"/>
      <color indexed="12"/>
      <name val="Arial"/>
      <family val="2"/>
    </font>
    <font>
      <b/>
      <sz val="14"/>
      <color indexed="10"/>
      <name val="Times New Roman"/>
      <family val="1"/>
    </font>
    <font>
      <sz val="10"/>
      <name val="Arial"/>
      <family val="2"/>
    </font>
    <font>
      <b/>
      <sz val="16"/>
      <name val="Arial"/>
      <family val="2"/>
    </font>
    <font>
      <b/>
      <sz val="10"/>
      <color indexed="12"/>
      <name val="Arial"/>
      <family val="2"/>
    </font>
    <font>
      <b/>
      <sz val="10"/>
      <color indexed="9"/>
      <name val="Tahoma"/>
      <family val="2"/>
    </font>
    <font>
      <sz val="11"/>
      <name val="Times New Roman"/>
      <family val="1"/>
    </font>
    <font>
      <u/>
      <sz val="11"/>
      <name val="Times New Roman"/>
      <family val="1"/>
    </font>
    <font>
      <b/>
      <sz val="16"/>
      <name val="Times New Roman"/>
      <family val="1"/>
    </font>
    <font>
      <sz val="1"/>
      <color indexed="8"/>
      <name val="Courier"/>
      <family val="3"/>
    </font>
    <font>
      <b/>
      <sz val="1"/>
      <color indexed="8"/>
      <name val="Courier"/>
      <family val="3"/>
    </font>
    <font>
      <sz val="12"/>
      <name val="Courier"/>
      <family val="3"/>
    </font>
    <font>
      <sz val="10"/>
      <color indexed="10"/>
      <name val="Arial"/>
      <family val="2"/>
    </font>
    <font>
      <sz val="11"/>
      <color indexed="81"/>
      <name val="Tahoma"/>
      <family val="2"/>
    </font>
    <font>
      <b/>
      <sz val="11"/>
      <name val="Verdana"/>
      <family val="2"/>
    </font>
    <font>
      <u/>
      <sz val="11"/>
      <name val="Verdana"/>
      <family val="2"/>
    </font>
    <font>
      <u/>
      <sz val="10"/>
      <name val="Verdana"/>
      <family val="2"/>
    </font>
    <font>
      <i/>
      <u/>
      <sz val="11"/>
      <name val="Verdana"/>
      <family val="2"/>
    </font>
    <font>
      <sz val="12"/>
      <name val="Verdana"/>
      <family val="2"/>
    </font>
    <font>
      <sz val="10"/>
      <name val="Verdana"/>
      <family val="2"/>
    </font>
    <font>
      <b/>
      <sz val="10"/>
      <name val="Verdana"/>
      <family val="2"/>
    </font>
    <font>
      <b/>
      <i/>
      <sz val="16"/>
      <name val="Stuyvesant BT"/>
      <family val="4"/>
    </font>
    <font>
      <b/>
      <sz val="20"/>
      <name val="Baskerville Old Face"/>
      <family val="1"/>
    </font>
    <font>
      <b/>
      <sz val="18"/>
      <name val="Arial Unicode MS"/>
      <family val="2"/>
    </font>
    <font>
      <b/>
      <sz val="16"/>
      <name val="Baskerville Old Face"/>
      <family val="1"/>
    </font>
    <font>
      <sz val="16"/>
      <name val="Stuyvesant BT"/>
      <family val="4"/>
    </font>
    <font>
      <b/>
      <sz val="16"/>
      <name val="Stuyvesant BT"/>
      <family val="4"/>
    </font>
    <font>
      <b/>
      <sz val="20"/>
      <name val="Stuyvesant BT"/>
      <family val="4"/>
    </font>
    <font>
      <sz val="20"/>
      <name val="Stuyvesant BT"/>
      <family val="4"/>
    </font>
    <font>
      <b/>
      <i/>
      <sz val="22"/>
      <name val="Stuyvesant BT"/>
      <family val="4"/>
    </font>
    <font>
      <b/>
      <i/>
      <sz val="21"/>
      <name val="Stuyvesant BT"/>
      <family val="4"/>
    </font>
    <font>
      <b/>
      <i/>
      <sz val="24"/>
      <name val="Stuyvesant BT"/>
      <family val="4"/>
    </font>
    <font>
      <u/>
      <sz val="14"/>
      <name val="Arial"/>
      <family val="2"/>
    </font>
    <font>
      <b/>
      <sz val="18"/>
      <name val="Arial"/>
      <family val="2"/>
    </font>
    <font>
      <b/>
      <sz val="10"/>
      <color indexed="10"/>
      <name val="Times New Roman"/>
      <family val="1"/>
    </font>
    <font>
      <u val="singleAccounting"/>
      <sz val="12"/>
      <name val="Times New Roman"/>
      <family val="1"/>
    </font>
    <font>
      <sz val="13"/>
      <name val="Arial"/>
      <family val="2"/>
    </font>
    <font>
      <b/>
      <i/>
      <sz val="12"/>
      <name val="Stuyvesant BT"/>
      <family val="4"/>
    </font>
    <font>
      <b/>
      <i/>
      <sz val="14"/>
      <name val="Times New Roman"/>
      <family val="1"/>
    </font>
    <font>
      <sz val="22"/>
      <name val="Times New Roman"/>
      <family val="1"/>
    </font>
    <font>
      <b/>
      <i/>
      <sz val="14"/>
      <name val="Stuyvesant BT"/>
      <family val="4"/>
    </font>
    <font>
      <b/>
      <sz val="18"/>
      <color indexed="10"/>
      <name val="Arial"/>
      <family val="2"/>
    </font>
    <font>
      <u/>
      <sz val="10"/>
      <name val="Times New Roman"/>
      <family val="1"/>
    </font>
    <font>
      <u/>
      <sz val="13"/>
      <name val="Times New Roman"/>
      <family val="1"/>
    </font>
    <font>
      <i/>
      <u/>
      <sz val="13"/>
      <name val="Times New Roman"/>
      <family val="1"/>
    </font>
    <font>
      <b/>
      <i/>
      <sz val="11"/>
      <name val="Times New Roman"/>
      <family val="1"/>
    </font>
    <font>
      <i/>
      <u/>
      <sz val="11"/>
      <name val="Times New Roman"/>
      <family val="1"/>
    </font>
    <font>
      <b/>
      <i/>
      <sz val="13"/>
      <name val="Times New Roman"/>
      <family val="1"/>
    </font>
    <font>
      <b/>
      <u/>
      <sz val="12"/>
      <name val="Arial"/>
      <family val="2"/>
    </font>
    <font>
      <b/>
      <i/>
      <sz val="11"/>
      <name val="Simplified Arabic Fixed"/>
      <family val="3"/>
    </font>
    <font>
      <b/>
      <i/>
      <sz val="30"/>
      <name val="Stuyvesant BT"/>
      <family val="4"/>
    </font>
    <font>
      <b/>
      <i/>
      <sz val="11"/>
      <name val="Stuyvesant BT"/>
      <family val="4"/>
    </font>
    <font>
      <u val="singleAccounting"/>
      <sz val="11"/>
      <name val="Times New Roman"/>
      <family val="1"/>
    </font>
    <font>
      <i/>
      <sz val="18"/>
      <color indexed="10"/>
      <name val="Arial"/>
      <family val="2"/>
    </font>
    <font>
      <b/>
      <sz val="22"/>
      <name val="Stuyvesant BT"/>
      <family val="4"/>
    </font>
    <font>
      <sz val="14"/>
      <name val="Verdana"/>
      <family val="2"/>
    </font>
    <font>
      <b/>
      <i/>
      <sz val="20"/>
      <name val="Verdana"/>
      <family val="2"/>
    </font>
    <font>
      <b/>
      <sz val="14"/>
      <name val="Verdana"/>
      <family val="2"/>
    </font>
    <font>
      <b/>
      <u/>
      <sz val="14"/>
      <name val="Verdana"/>
      <family val="2"/>
    </font>
    <font>
      <b/>
      <sz val="9"/>
      <name val="Verdana"/>
      <family val="2"/>
    </font>
    <font>
      <b/>
      <u/>
      <sz val="10"/>
      <name val="Verdana"/>
      <family val="2"/>
    </font>
    <font>
      <sz val="9"/>
      <name val="Verdana"/>
      <family val="2"/>
    </font>
    <font>
      <b/>
      <sz val="8"/>
      <name val="Verdana"/>
      <family val="2"/>
    </font>
    <font>
      <b/>
      <i/>
      <sz val="10"/>
      <name val="Verdana"/>
      <family val="2"/>
    </font>
    <font>
      <b/>
      <sz val="12"/>
      <name val="Verdana"/>
      <family val="2"/>
    </font>
    <font>
      <b/>
      <u/>
      <sz val="12"/>
      <name val="Verdana"/>
      <family val="2"/>
    </font>
    <font>
      <b/>
      <u val="double"/>
      <sz val="10"/>
      <name val="Verdana"/>
      <family val="2"/>
    </font>
    <font>
      <sz val="10"/>
      <color indexed="10"/>
      <name val="Verdana"/>
      <family val="2"/>
    </font>
    <font>
      <sz val="10"/>
      <color indexed="8"/>
      <name val="Verdana"/>
      <family val="2"/>
    </font>
    <font>
      <b/>
      <u val="double"/>
      <sz val="10"/>
      <color indexed="8"/>
      <name val="Verdana"/>
      <family val="2"/>
    </font>
    <font>
      <b/>
      <u val="double"/>
      <sz val="14"/>
      <name val="Verdana"/>
      <family val="2"/>
    </font>
    <font>
      <b/>
      <u/>
      <sz val="10"/>
      <color indexed="8"/>
      <name val="Verdana"/>
      <family val="2"/>
    </font>
    <font>
      <u/>
      <sz val="10"/>
      <color indexed="8"/>
      <name val="Verdana"/>
      <family val="2"/>
    </font>
    <font>
      <u/>
      <sz val="9"/>
      <name val="Times New Roman"/>
      <family val="1"/>
    </font>
    <font>
      <b/>
      <sz val="22"/>
      <color indexed="10"/>
      <name val="Arial"/>
      <family val="2"/>
    </font>
    <font>
      <sz val="12"/>
      <name val="Times New Roman"/>
      <family val="1"/>
    </font>
    <font>
      <sz val="22"/>
      <name val="Stuyvesant BT"/>
      <family val="4"/>
    </font>
    <font>
      <sz val="12"/>
      <color rgb="FFFF0000"/>
      <name val="Times New Roman"/>
      <family val="1"/>
    </font>
    <font>
      <b/>
      <sz val="13"/>
      <color rgb="FFFF0000"/>
      <name val="Times New Roman"/>
      <family val="1"/>
    </font>
    <font>
      <b/>
      <sz val="10"/>
      <color rgb="FFFF0000"/>
      <name val="Arial"/>
      <family val="2"/>
    </font>
    <font>
      <b/>
      <sz val="12"/>
      <color rgb="FFFF0000"/>
      <name val="Times New Roman"/>
      <family val="1"/>
    </font>
    <font>
      <b/>
      <i/>
      <sz val="12"/>
      <color rgb="FFFF0000"/>
      <name val="Arial"/>
      <family val="2"/>
    </font>
    <font>
      <sz val="10"/>
      <color rgb="FFFF0000"/>
      <name val="Times New Roman"/>
      <family val="1"/>
    </font>
    <font>
      <sz val="11"/>
      <color rgb="FFFF0000"/>
      <name val="Times New Roman"/>
      <family val="1"/>
    </font>
    <font>
      <b/>
      <u/>
      <sz val="11"/>
      <color rgb="FFFF0000"/>
      <name val="Times New Roman"/>
      <family val="1"/>
    </font>
    <font>
      <b/>
      <sz val="11"/>
      <color rgb="FFFF0000"/>
      <name val="Times New Roman"/>
      <family val="1"/>
    </font>
    <font>
      <b/>
      <i/>
      <sz val="21"/>
      <color rgb="FFFF0000"/>
      <name val="Stuyvesant BT"/>
      <family val="4"/>
    </font>
    <font>
      <u/>
      <sz val="11"/>
      <color rgb="FFFF0000"/>
      <name val="Times New Roman"/>
      <family val="1"/>
    </font>
    <font>
      <b/>
      <sz val="18"/>
      <color rgb="FFFF0000"/>
      <name val="Arial"/>
      <family val="2"/>
    </font>
    <font>
      <b/>
      <sz val="12"/>
      <color rgb="FFFF0000"/>
      <name val="Arial"/>
      <family val="2"/>
    </font>
    <font>
      <b/>
      <i/>
      <sz val="20"/>
      <color rgb="FFFF0000"/>
      <name val="Arial"/>
      <family val="2"/>
    </font>
  </fonts>
  <fills count="29">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45"/>
        <bgColor indexed="64"/>
      </patternFill>
    </fill>
    <fill>
      <patternFill patternType="solid">
        <fgColor indexed="13"/>
        <bgColor indexed="64"/>
      </patternFill>
    </fill>
    <fill>
      <patternFill patternType="solid">
        <fgColor indexed="9"/>
        <bgColor indexed="64"/>
      </patternFill>
    </fill>
    <fill>
      <patternFill patternType="solid">
        <fgColor indexed="1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66FFFF"/>
        <bgColor indexed="64"/>
      </patternFill>
    </fill>
    <fill>
      <patternFill patternType="solid">
        <fgColor rgb="FF00B0F0"/>
        <bgColor indexed="64"/>
      </patternFill>
    </fill>
    <fill>
      <patternFill patternType="solid">
        <fgColor rgb="FFFF00FF"/>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bgColor indexed="64"/>
      </patternFill>
    </fill>
    <fill>
      <patternFill patternType="solid">
        <fgColor rgb="FFFFC000"/>
        <bgColor indexed="64"/>
      </patternFill>
    </fill>
  </fills>
  <borders count="116">
    <border>
      <left/>
      <right/>
      <top/>
      <bottom/>
      <diagonal/>
    </border>
    <border>
      <left/>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bottom/>
      <diagonal/>
    </border>
    <border>
      <left/>
      <right style="hair">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double">
        <color indexed="64"/>
      </bottom>
      <diagonal/>
    </border>
    <border>
      <left/>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right style="thin">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50">
    <xf numFmtId="0" fontId="0" fillId="0" borderId="0"/>
    <xf numFmtId="172" fontId="105" fillId="0" borderId="0">
      <protection locked="0"/>
    </xf>
    <xf numFmtId="186" fontId="106" fillId="0" borderId="0">
      <protection locked="0"/>
    </xf>
    <xf numFmtId="186" fontId="106" fillId="0" borderId="0">
      <protection locked="0"/>
    </xf>
    <xf numFmtId="179" fontId="1" fillId="0" borderId="0" applyFont="0" applyFill="0" applyBorder="0" applyAlignment="0" applyProtection="0"/>
    <xf numFmtId="184" fontId="105" fillId="0" borderId="0">
      <protection locked="0"/>
    </xf>
    <xf numFmtId="4" fontId="105" fillId="0" borderId="0">
      <protection locked="0"/>
    </xf>
    <xf numFmtId="43" fontId="1" fillId="0" borderId="0" applyFont="0" applyFill="0" applyBorder="0" applyAlignment="0" applyProtection="0"/>
    <xf numFmtId="172" fontId="12" fillId="0" borderId="0" applyFont="0" applyFill="0" applyBorder="0" applyAlignment="0" applyProtection="0"/>
    <xf numFmtId="43" fontId="12" fillId="0" borderId="0" applyFont="0" applyFill="0" applyBorder="0" applyAlignment="0" applyProtection="0"/>
    <xf numFmtId="179" fontId="12" fillId="0" borderId="0" applyFont="0" applyFill="0" applyBorder="0" applyAlignment="0" applyProtection="0"/>
    <xf numFmtId="43" fontId="5"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179" fontId="12" fillId="0" borderId="0" applyFont="0" applyFill="0" applyBorder="0" applyAlignment="0" applyProtection="0"/>
    <xf numFmtId="0"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94" fontId="12" fillId="0" borderId="0" applyFont="0" applyFill="0" applyBorder="0" applyAlignment="0" applyProtection="0"/>
    <xf numFmtId="43" fontId="5" fillId="0" borderId="0" applyFont="0" applyFill="0" applyBorder="0" applyAlignment="0" applyProtection="0"/>
    <xf numFmtId="183" fontId="105" fillId="0" borderId="0">
      <protection locked="0"/>
    </xf>
    <xf numFmtId="0" fontId="107" fillId="0" borderId="0"/>
    <xf numFmtId="0" fontId="107"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12" fillId="0" borderId="0"/>
    <xf numFmtId="0" fontId="12" fillId="0" borderId="0"/>
    <xf numFmtId="0" fontId="12" fillId="0" borderId="0"/>
    <xf numFmtId="0" fontId="12" fillId="0" borderId="0"/>
    <xf numFmtId="0" fontId="12" fillId="0" borderId="0"/>
    <xf numFmtId="0" fontId="12" fillId="0" borderId="0"/>
    <xf numFmtId="0" fontId="98" fillId="0" borderId="0"/>
    <xf numFmtId="0" fontId="5" fillId="0" borderId="0"/>
    <xf numFmtId="0" fontId="12" fillId="0" borderId="0"/>
    <xf numFmtId="0" fontId="12" fillId="0" borderId="0"/>
    <xf numFmtId="0" fontId="12" fillId="0" borderId="0"/>
    <xf numFmtId="0" fontId="12" fillId="0" borderId="0"/>
    <xf numFmtId="0" fontId="1" fillId="0" borderId="0"/>
    <xf numFmtId="0" fontId="5" fillId="0" borderId="0"/>
    <xf numFmtId="0" fontId="5" fillId="0" borderId="0"/>
    <xf numFmtId="0" fontId="12" fillId="0" borderId="0"/>
    <xf numFmtId="0" fontId="98" fillId="0" borderId="0"/>
    <xf numFmtId="9" fontId="1" fillId="0" borderId="0" applyFont="0" applyFill="0" applyBorder="0" applyAlignment="0" applyProtection="0"/>
    <xf numFmtId="9" fontId="5" fillId="0" borderId="0" applyFont="0" applyFill="0" applyBorder="0" applyAlignment="0" applyProtection="0"/>
  </cellStyleXfs>
  <cellXfs count="1504">
    <xf numFmtId="0" fontId="0" fillId="0" borderId="0" xfId="0"/>
    <xf numFmtId="0" fontId="3" fillId="0" borderId="0" xfId="0" applyFont="1"/>
    <xf numFmtId="0" fontId="4" fillId="0" borderId="0" xfId="0" applyFont="1" applyAlignment="1">
      <alignment horizontal="centerContinuous"/>
    </xf>
    <xf numFmtId="49" fontId="5" fillId="0" borderId="0" xfId="0" applyNumberFormat="1" applyFont="1" applyAlignment="1">
      <alignment horizontal="centerContinuous"/>
    </xf>
    <xf numFmtId="0" fontId="6" fillId="0" borderId="0" xfId="0" applyFont="1" applyAlignment="1">
      <alignment horizontal="center"/>
    </xf>
    <xf numFmtId="0" fontId="7" fillId="0" borderId="0" xfId="0" applyFont="1" applyAlignment="1">
      <alignment horizontal="centerContinuous"/>
    </xf>
    <xf numFmtId="0" fontId="5" fillId="0" borderId="0" xfId="0" applyFont="1"/>
    <xf numFmtId="49" fontId="5" fillId="0" borderId="0" xfId="0" applyNumberFormat="1" applyFont="1" applyAlignment="1">
      <alignment horizontal="center"/>
    </xf>
    <xf numFmtId="0" fontId="8" fillId="0" borderId="1" xfId="0" applyFont="1" applyBorder="1"/>
    <xf numFmtId="0" fontId="9" fillId="0" borderId="1" xfId="0" applyFont="1" applyBorder="1"/>
    <xf numFmtId="49" fontId="8" fillId="0" borderId="1" xfId="0" applyNumberFormat="1" applyFont="1" applyBorder="1" applyAlignment="1">
      <alignment horizontal="center"/>
    </xf>
    <xf numFmtId="0" fontId="9" fillId="0" borderId="0" xfId="0" applyFont="1"/>
    <xf numFmtId="0" fontId="9" fillId="0" borderId="0" xfId="0" applyFont="1" applyAlignment="1">
      <alignment horizontal="center"/>
    </xf>
    <xf numFmtId="0" fontId="2" fillId="0" borderId="0" xfId="0" applyFont="1"/>
    <xf numFmtId="4" fontId="5" fillId="0" borderId="0" xfId="7" applyNumberFormat="1" applyFont="1"/>
    <xf numFmtId="0" fontId="5" fillId="0" borderId="0" xfId="0" applyFont="1" applyAlignment="1">
      <alignment horizontal="justify" vertical="justify"/>
    </xf>
    <xf numFmtId="0" fontId="15" fillId="0" borderId="0" xfId="0" applyFont="1"/>
    <xf numFmtId="43" fontId="5" fillId="0" borderId="0" xfId="7" applyFont="1"/>
    <xf numFmtId="43" fontId="5" fillId="0" borderId="0" xfId="7" applyFont="1" applyBorder="1"/>
    <xf numFmtId="43" fontId="0" fillId="0" borderId="0" xfId="7" applyFont="1"/>
    <xf numFmtId="0" fontId="20" fillId="0" borderId="0" xfId="0" applyFont="1"/>
    <xf numFmtId="0" fontId="5" fillId="0" borderId="0" xfId="0" applyFont="1" applyAlignment="1">
      <alignment horizontal="justify"/>
    </xf>
    <xf numFmtId="0" fontId="0" fillId="0" borderId="0" xfId="0" applyAlignment="1">
      <alignment vertical="center"/>
    </xf>
    <xf numFmtId="0" fontId="20" fillId="0" borderId="2" xfId="0" applyFont="1" applyBorder="1" applyAlignment="1">
      <alignment horizontal="center"/>
    </xf>
    <xf numFmtId="0" fontId="21" fillId="0" borderId="3" xfId="0" applyFont="1" applyBorder="1" applyAlignment="1">
      <alignment horizontal="center"/>
    </xf>
    <xf numFmtId="43" fontId="15" fillId="0" borderId="0" xfId="7" applyFont="1"/>
    <xf numFmtId="43" fontId="5" fillId="0" borderId="4" xfId="7" applyFont="1" applyBorder="1"/>
    <xf numFmtId="0" fontId="23" fillId="0" borderId="0" xfId="0" applyFont="1"/>
    <xf numFmtId="0" fontId="24" fillId="0" borderId="0" xfId="0" applyFont="1"/>
    <xf numFmtId="4" fontId="5" fillId="0" borderId="0" xfId="0" applyNumberFormat="1" applyFont="1"/>
    <xf numFmtId="43" fontId="20" fillId="0" borderId="0" xfId="7" applyFont="1" applyAlignment="1">
      <alignment horizontal="centerContinuous" vertical="top"/>
    </xf>
    <xf numFmtId="0" fontId="15" fillId="0" borderId="0" xfId="40" applyFont="1" applyAlignment="1">
      <alignment vertical="top"/>
    </xf>
    <xf numFmtId="0" fontId="5" fillId="0" borderId="0" xfId="40" applyFont="1" applyAlignment="1">
      <alignment vertical="top"/>
    </xf>
    <xf numFmtId="49" fontId="20" fillId="0" borderId="0" xfId="40" applyNumberFormat="1" applyFont="1" applyAlignment="1">
      <alignment horizontal="centerContinuous" vertical="top"/>
    </xf>
    <xf numFmtId="0" fontId="22" fillId="0" borderId="0" xfId="40" applyFont="1" applyAlignment="1">
      <alignment vertical="center"/>
    </xf>
    <xf numFmtId="0" fontId="2" fillId="0" borderId="0" xfId="40" applyFont="1" applyAlignment="1">
      <alignment vertical="center"/>
    </xf>
    <xf numFmtId="4" fontId="25" fillId="0" borderId="5" xfId="7" applyNumberFormat="1" applyFont="1" applyBorder="1" applyAlignment="1"/>
    <xf numFmtId="43" fontId="15" fillId="0" borderId="0" xfId="7" applyFont="1" applyBorder="1" applyAlignment="1">
      <alignment vertical="top"/>
    </xf>
    <xf numFmtId="4" fontId="25" fillId="0" borderId="5" xfId="48" applyNumberFormat="1" applyFont="1" applyBorder="1" applyAlignment="1"/>
    <xf numFmtId="49" fontId="20" fillId="0" borderId="0" xfId="40" applyNumberFormat="1" applyFont="1" applyAlignment="1">
      <alignment vertical="top"/>
    </xf>
    <xf numFmtId="0" fontId="15" fillId="0" borderId="0" xfId="40" applyFont="1" applyAlignment="1">
      <alignment vertical="center"/>
    </xf>
    <xf numFmtId="0" fontId="5" fillId="0" borderId="0" xfId="40" applyFont="1" applyAlignment="1">
      <alignment vertical="center"/>
    </xf>
    <xf numFmtId="43" fontId="20" fillId="0" borderId="0" xfId="7" applyFont="1" applyAlignment="1">
      <alignment vertical="top"/>
    </xf>
    <xf numFmtId="49" fontId="15" fillId="0" borderId="0" xfId="40" applyNumberFormat="1" applyFont="1" applyAlignment="1">
      <alignment vertical="top"/>
    </xf>
    <xf numFmtId="0" fontId="12" fillId="0" borderId="0" xfId="40"/>
    <xf numFmtId="0" fontId="20" fillId="0" borderId="0" xfId="40" applyFont="1" applyAlignment="1">
      <alignment vertical="top"/>
    </xf>
    <xf numFmtId="43" fontId="15" fillId="0" borderId="0" xfId="7" applyFont="1" applyAlignment="1">
      <alignment vertical="top"/>
    </xf>
    <xf numFmtId="0" fontId="15" fillId="0" borderId="0" xfId="0" applyFont="1" applyBorder="1"/>
    <xf numFmtId="4" fontId="20" fillId="0" borderId="0" xfId="0" applyNumberFormat="1" applyFont="1"/>
    <xf numFmtId="0" fontId="15" fillId="0" borderId="0" xfId="0" applyFont="1" applyAlignment="1">
      <alignment horizontal="center"/>
    </xf>
    <xf numFmtId="0" fontId="18" fillId="0" borderId="0" xfId="0" applyFont="1" applyAlignment="1">
      <alignment horizontal="center" vertical="justify"/>
    </xf>
    <xf numFmtId="0" fontId="27" fillId="0" borderId="0" xfId="0" applyFont="1"/>
    <xf numFmtId="0" fontId="11" fillId="0" borderId="0" xfId="0" applyFont="1"/>
    <xf numFmtId="0" fontId="28" fillId="0" borderId="0" xfId="0" applyFont="1"/>
    <xf numFmtId="0" fontId="23" fillId="0" borderId="0" xfId="0" applyFont="1" applyBorder="1"/>
    <xf numFmtId="0" fontId="2" fillId="0" borderId="0" xfId="0" applyNumberFormat="1" applyFont="1" applyAlignment="1">
      <alignment horizontal="center"/>
    </xf>
    <xf numFmtId="0" fontId="5" fillId="0" borderId="0" xfId="0" applyNumberFormat="1" applyFont="1"/>
    <xf numFmtId="10" fontId="2" fillId="0" borderId="6" xfId="48" applyNumberFormat="1" applyFont="1" applyBorder="1" applyAlignment="1">
      <alignment horizontal="center"/>
    </xf>
    <xf numFmtId="0" fontId="2" fillId="0" borderId="0" xfId="0" applyNumberFormat="1" applyFont="1"/>
    <xf numFmtId="0" fontId="5" fillId="0" borderId="2" xfId="0" applyNumberFormat="1" applyFont="1" applyBorder="1"/>
    <xf numFmtId="0" fontId="5" fillId="0" borderId="7" xfId="0" applyNumberFormat="1" applyFont="1" applyBorder="1"/>
    <xf numFmtId="0" fontId="5" fillId="0" borderId="8" xfId="0" applyNumberFormat="1" applyFont="1" applyBorder="1"/>
    <xf numFmtId="43" fontId="5" fillId="0" borderId="9" xfId="7" applyFont="1" applyBorder="1" applyAlignment="1">
      <alignment horizontal="right"/>
    </xf>
    <xf numFmtId="2" fontId="5" fillId="0" borderId="4" xfId="0" applyNumberFormat="1" applyFont="1" applyBorder="1" applyAlignment="1">
      <alignment horizontal="center"/>
    </xf>
    <xf numFmtId="0" fontId="5" fillId="0" borderId="4" xfId="0" applyNumberFormat="1" applyFont="1" applyBorder="1" applyAlignment="1">
      <alignment horizontal="center"/>
    </xf>
    <xf numFmtId="0" fontId="5" fillId="0" borderId="0" xfId="0" applyNumberFormat="1" applyFont="1" applyBorder="1"/>
    <xf numFmtId="0" fontId="20" fillId="0" borderId="0" xfId="0" applyNumberFormat="1" applyFont="1"/>
    <xf numFmtId="43" fontId="2" fillId="0" borderId="0" xfId="7" applyFont="1"/>
    <xf numFmtId="0" fontId="30" fillId="0" borderId="0" xfId="0" applyFont="1" applyAlignment="1">
      <alignment horizontal="centerContinuous"/>
    </xf>
    <xf numFmtId="49" fontId="20" fillId="0" borderId="0" xfId="0" applyNumberFormat="1" applyFont="1" applyAlignment="1">
      <alignment horizontal="centerContinuous"/>
    </xf>
    <xf numFmtId="0" fontId="26" fillId="0" borderId="0" xfId="0" applyFont="1" applyFill="1" applyBorder="1" applyAlignment="1">
      <alignment horizontal="center"/>
    </xf>
    <xf numFmtId="0" fontId="0" fillId="0" borderId="0" xfId="0" applyAlignment="1">
      <alignment horizontal="left"/>
    </xf>
    <xf numFmtId="0" fontId="29" fillId="0" borderId="0" xfId="0" applyFont="1"/>
    <xf numFmtId="0" fontId="32" fillId="0" borderId="0" xfId="0" applyFont="1"/>
    <xf numFmtId="0" fontId="31" fillId="0" borderId="0" xfId="0" applyFont="1" applyAlignment="1">
      <alignment horizontal="center"/>
    </xf>
    <xf numFmtId="0" fontId="33" fillId="0" borderId="0" xfId="0" applyFont="1"/>
    <xf numFmtId="0" fontId="34" fillId="0" borderId="0" xfId="0" applyFont="1"/>
    <xf numFmtId="0" fontId="15" fillId="0" borderId="0" xfId="0" applyFont="1" applyBorder="1" applyAlignment="1">
      <alignment horizontal="center"/>
    </xf>
    <xf numFmtId="0" fontId="22" fillId="0" borderId="0" xfId="0" applyFont="1" applyAlignment="1">
      <alignment horizontal="left"/>
    </xf>
    <xf numFmtId="0" fontId="22" fillId="0" borderId="0" xfId="0" applyFont="1" applyAlignment="1">
      <alignment horizontal="right"/>
    </xf>
    <xf numFmtId="0" fontId="0" fillId="0" borderId="0" xfId="0" applyAlignment="1">
      <alignment horizontal="center"/>
    </xf>
    <xf numFmtId="0" fontId="36" fillId="0" borderId="0" xfId="0" applyFont="1"/>
    <xf numFmtId="0" fontId="22" fillId="0" borderId="0" xfId="40" applyFont="1" applyAlignment="1">
      <alignment vertical="top"/>
    </xf>
    <xf numFmtId="0" fontId="2" fillId="0" borderId="0" xfId="40" applyFont="1" applyAlignment="1">
      <alignment vertical="top"/>
    </xf>
    <xf numFmtId="4" fontId="35" fillId="0" borderId="0" xfId="0" applyNumberFormat="1" applyFont="1" applyAlignment="1">
      <alignment horizontal="center"/>
    </xf>
    <xf numFmtId="43" fontId="25" fillId="0" borderId="5" xfId="7" applyFont="1" applyBorder="1" applyAlignment="1"/>
    <xf numFmtId="0" fontId="18" fillId="0" borderId="0" xfId="0" applyFont="1" applyAlignment="1">
      <alignment horizontal="center"/>
    </xf>
    <xf numFmtId="39" fontId="5" fillId="0" borderId="0" xfId="7" applyNumberFormat="1" applyFont="1"/>
    <xf numFmtId="10" fontId="5" fillId="0" borderId="0" xfId="48" applyNumberFormat="1" applyFont="1" applyAlignment="1">
      <alignment horizontal="centerContinuous"/>
    </xf>
    <xf numFmtId="0" fontId="15" fillId="0" borderId="10" xfId="0" applyFont="1" applyBorder="1"/>
    <xf numFmtId="0" fontId="2" fillId="0" borderId="0" xfId="0" applyFont="1" applyAlignment="1">
      <alignment vertical="center"/>
    </xf>
    <xf numFmtId="43" fontId="10" fillId="0" borderId="0" xfId="7" applyFont="1" applyAlignment="1">
      <alignment horizontal="centerContinuous"/>
    </xf>
    <xf numFmtId="43" fontId="22" fillId="0" borderId="0" xfId="7" applyNumberFormat="1" applyFont="1" applyAlignment="1">
      <alignment horizontal="centerContinuous"/>
    </xf>
    <xf numFmtId="4" fontId="0" fillId="0" borderId="0" xfId="0" applyNumberFormat="1"/>
    <xf numFmtId="0" fontId="20" fillId="0" borderId="0" xfId="0" applyFont="1" applyAlignment="1">
      <alignment horizontal="center"/>
    </xf>
    <xf numFmtId="0" fontId="15" fillId="0" borderId="0" xfId="0" applyFont="1" applyAlignment="1">
      <alignment vertical="center"/>
    </xf>
    <xf numFmtId="49" fontId="42" fillId="0" borderId="0" xfId="0" applyNumberFormat="1" applyFont="1" applyAlignment="1">
      <alignment horizontal="center"/>
    </xf>
    <xf numFmtId="0" fontId="41" fillId="0" borderId="0" xfId="0" applyFont="1" applyAlignment="1">
      <alignment horizontal="center"/>
    </xf>
    <xf numFmtId="0" fontId="11" fillId="0" borderId="0" xfId="0" applyFont="1" applyAlignment="1">
      <alignment horizontal="center"/>
    </xf>
    <xf numFmtId="0" fontId="5" fillId="0" borderId="0" xfId="39" applyFont="1" applyFill="1" applyAlignment="1">
      <alignment vertical="top"/>
    </xf>
    <xf numFmtId="0" fontId="20" fillId="0" borderId="0" xfId="39" applyFont="1" applyFill="1" applyAlignment="1">
      <alignment horizontal="justify" vertical="justify"/>
    </xf>
    <xf numFmtId="43" fontId="20" fillId="0" borderId="0" xfId="7" applyFont="1" applyFill="1" applyAlignment="1">
      <alignment horizontal="right"/>
    </xf>
    <xf numFmtId="0" fontId="20" fillId="0" borderId="0" xfId="39" applyFont="1" applyFill="1"/>
    <xf numFmtId="0" fontId="21" fillId="0" borderId="0" xfId="39" applyFont="1" applyFill="1"/>
    <xf numFmtId="49" fontId="5" fillId="0" borderId="0" xfId="39" applyNumberFormat="1" applyFont="1" applyFill="1" applyAlignment="1">
      <alignment vertical="top"/>
    </xf>
    <xf numFmtId="49" fontId="5" fillId="0" borderId="0" xfId="39" applyNumberFormat="1" applyFont="1" applyFill="1" applyBorder="1" applyAlignment="1">
      <alignment vertical="top"/>
    </xf>
    <xf numFmtId="0" fontId="20" fillId="0" borderId="0" xfId="39" applyFont="1" applyFill="1" applyBorder="1" applyAlignment="1">
      <alignment horizontal="justify" vertical="justify"/>
    </xf>
    <xf numFmtId="0" fontId="2" fillId="0" borderId="0" xfId="39" applyFont="1" applyFill="1" applyBorder="1" applyAlignment="1">
      <alignment vertical="top" wrapText="1"/>
    </xf>
    <xf numFmtId="0" fontId="49" fillId="0" borderId="0" xfId="39" applyFont="1" applyFill="1" applyBorder="1" applyAlignment="1">
      <alignment vertical="top" wrapText="1"/>
    </xf>
    <xf numFmtId="43" fontId="50" fillId="0" borderId="0" xfId="7" applyFont="1" applyFill="1" applyBorder="1" applyAlignment="1">
      <alignment horizontal="right" vertical="top" wrapText="1"/>
    </xf>
    <xf numFmtId="0" fontId="21" fillId="0" borderId="0" xfId="39" applyFont="1" applyFill="1" applyBorder="1" applyAlignment="1">
      <alignment vertical="top" wrapText="1"/>
    </xf>
    <xf numFmtId="0" fontId="51" fillId="0" borderId="0" xfId="39" applyFont="1" applyFill="1" applyBorder="1" applyAlignment="1">
      <alignment vertical="top" wrapText="1"/>
    </xf>
    <xf numFmtId="43" fontId="52" fillId="0" borderId="0" xfId="7" applyFont="1" applyFill="1" applyAlignment="1">
      <alignment horizontal="right"/>
    </xf>
    <xf numFmtId="0" fontId="5" fillId="0" borderId="0" xfId="39" applyFont="1" applyFill="1" applyBorder="1" applyAlignment="1">
      <alignment vertical="top" wrapText="1"/>
    </xf>
    <xf numFmtId="0" fontId="20" fillId="0" borderId="0" xfId="39" applyFont="1" applyFill="1" applyBorder="1" applyAlignment="1">
      <alignment vertical="top" wrapText="1"/>
    </xf>
    <xf numFmtId="43" fontId="21" fillId="0" borderId="0" xfId="7" applyFont="1" applyFill="1" applyAlignment="1">
      <alignment horizontal="right"/>
    </xf>
    <xf numFmtId="43" fontId="20" fillId="0" borderId="0" xfId="39" applyNumberFormat="1" applyFont="1" applyFill="1" applyAlignment="1">
      <alignment horizontal="right"/>
    </xf>
    <xf numFmtId="0" fontId="53" fillId="0" borderId="0" xfId="39" applyFont="1" applyFill="1" applyBorder="1" applyAlignment="1">
      <alignment vertical="top" wrapText="1"/>
    </xf>
    <xf numFmtId="43" fontId="14" fillId="0" borderId="0" xfId="7" applyFont="1" applyFill="1" applyBorder="1" applyAlignment="1">
      <alignment horizontal="right" vertical="top" wrapText="1"/>
    </xf>
    <xf numFmtId="0" fontId="20" fillId="0" borderId="0" xfId="39" applyFont="1" applyFill="1" applyAlignment="1">
      <alignment horizontal="right"/>
    </xf>
    <xf numFmtId="43" fontId="51" fillId="0" borderId="0" xfId="7" applyFont="1" applyFill="1" applyAlignment="1">
      <alignment horizontal="right"/>
    </xf>
    <xf numFmtId="0" fontId="21" fillId="0" borderId="0" xfId="39" applyFont="1" applyFill="1" applyAlignment="1">
      <alignment horizontal="right"/>
    </xf>
    <xf numFmtId="0" fontId="16" fillId="0" borderId="0" xfId="39" applyFont="1" applyFill="1" applyAlignment="1">
      <alignment horizontal="left" vertical="center"/>
    </xf>
    <xf numFmtId="43" fontId="1" fillId="0" borderId="0" xfId="7"/>
    <xf numFmtId="49" fontId="0" fillId="0" borderId="0" xfId="0" applyNumberFormat="1"/>
    <xf numFmtId="0" fontId="0" fillId="0" borderId="0" xfId="0" applyAlignment="1"/>
    <xf numFmtId="0" fontId="0" fillId="0" borderId="0" xfId="0" applyFill="1"/>
    <xf numFmtId="0" fontId="21" fillId="0" borderId="0" xfId="0" applyFont="1" applyAlignment="1">
      <alignment horizontal="center" vertical="center" wrapText="1"/>
    </xf>
    <xf numFmtId="0" fontId="20" fillId="0" borderId="0" xfId="0" applyFont="1" applyAlignment="1">
      <alignment horizontal="center" vertical="center" wrapText="1"/>
    </xf>
    <xf numFmtId="0" fontId="5" fillId="0" borderId="0" xfId="0" applyFont="1" applyFill="1"/>
    <xf numFmtId="0" fontId="5" fillId="0" borderId="0" xfId="0" applyFont="1" applyAlignment="1">
      <alignment horizontal="justify" vertical="top"/>
    </xf>
    <xf numFmtId="49" fontId="5" fillId="0" borderId="0" xfId="0" applyNumberFormat="1" applyFont="1" applyAlignment="1">
      <alignment horizontal="justify" vertical="top"/>
    </xf>
    <xf numFmtId="0" fontId="0" fillId="0" borderId="0" xfId="0" applyFill="1" applyAlignment="1">
      <alignment horizontal="left"/>
    </xf>
    <xf numFmtId="0" fontId="0" fillId="0" borderId="0" xfId="0" applyFill="1" applyBorder="1"/>
    <xf numFmtId="43" fontId="55" fillId="2" borderId="11" xfId="7" applyFont="1" applyFill="1" applyBorder="1" applyAlignment="1">
      <alignment horizontal="right" vertical="center"/>
    </xf>
    <xf numFmtId="0" fontId="2" fillId="0" borderId="0" xfId="0" applyFont="1" applyAlignment="1"/>
    <xf numFmtId="4" fontId="5" fillId="0" borderId="0" xfId="7" applyNumberFormat="1" applyFont="1" applyAlignment="1"/>
    <xf numFmtId="4" fontId="58" fillId="0" borderId="0" xfId="7" applyNumberFormat="1" applyFont="1"/>
    <xf numFmtId="0" fontId="2" fillId="0" borderId="0" xfId="0" applyFont="1" applyAlignment="1">
      <alignment horizontal="center" vertical="center" wrapText="1"/>
    </xf>
    <xf numFmtId="49" fontId="0" fillId="0" borderId="0" xfId="0" applyNumberFormat="1" applyAlignment="1">
      <alignment horizontal="center"/>
    </xf>
    <xf numFmtId="49" fontId="5" fillId="0" borderId="0" xfId="0" applyNumberFormat="1" applyFont="1" applyAlignment="1">
      <alignment horizontal="center" vertical="top"/>
    </xf>
    <xf numFmtId="0" fontId="22" fillId="3" borderId="12" xfId="0" applyFont="1" applyFill="1" applyBorder="1" applyAlignment="1" applyProtection="1">
      <alignment horizontal="center" vertical="center"/>
    </xf>
    <xf numFmtId="0" fontId="5" fillId="0" borderId="0" xfId="0" applyFont="1" applyAlignment="1">
      <alignment horizontal="center" vertical="center"/>
    </xf>
    <xf numFmtId="0" fontId="22" fillId="3" borderId="13" xfId="0" applyFont="1" applyFill="1" applyBorder="1" applyAlignment="1" applyProtection="1">
      <alignment horizontal="center" vertical="center"/>
    </xf>
    <xf numFmtId="0" fontId="12" fillId="0" borderId="0" xfId="33" applyFont="1" applyAlignment="1">
      <alignment horizontal="right"/>
    </xf>
    <xf numFmtId="0" fontId="12" fillId="0" borderId="0" xfId="33" applyFont="1"/>
    <xf numFmtId="0" fontId="12" fillId="0" borderId="0" xfId="33"/>
    <xf numFmtId="0" fontId="47" fillId="0" borderId="0" xfId="33" applyFont="1" applyAlignment="1">
      <alignment horizontal="centerContinuous" vertical="center"/>
    </xf>
    <xf numFmtId="0" fontId="48" fillId="0" borderId="0" xfId="33" applyFont="1" applyAlignment="1">
      <alignment horizontal="centerContinuous" vertical="center"/>
    </xf>
    <xf numFmtId="0" fontId="70" fillId="0" borderId="0" xfId="33" applyFont="1" applyAlignment="1">
      <alignment horizontal="centerContinuous" vertical="center"/>
    </xf>
    <xf numFmtId="0" fontId="48" fillId="0" borderId="14" xfId="33" applyFont="1" applyBorder="1" applyAlignment="1">
      <alignment horizontal="right" vertical="top" wrapText="1"/>
    </xf>
    <xf numFmtId="0" fontId="48" fillId="0" borderId="15" xfId="33" applyFont="1" applyBorder="1" applyAlignment="1">
      <alignment vertical="top" wrapText="1"/>
    </xf>
    <xf numFmtId="4" fontId="47" fillId="0" borderId="15" xfId="33" applyNumberFormat="1" applyFont="1" applyBorder="1" applyAlignment="1" applyProtection="1">
      <alignment horizontal="right" wrapText="1"/>
      <protection locked="0"/>
    </xf>
    <xf numFmtId="4" fontId="47" fillId="0" borderId="16" xfId="33" applyNumberFormat="1" applyFont="1" applyBorder="1" applyAlignment="1" applyProtection="1">
      <alignment horizontal="right" wrapText="1"/>
      <protection locked="0"/>
    </xf>
    <xf numFmtId="0" fontId="47" fillId="0" borderId="0" xfId="33" applyFont="1" applyAlignment="1">
      <alignment horizontal="left"/>
    </xf>
    <xf numFmtId="0" fontId="47" fillId="0" borderId="0" xfId="33" applyFont="1"/>
    <xf numFmtId="0" fontId="17" fillId="0" borderId="0" xfId="33" applyFont="1" applyAlignment="1">
      <alignment horizontal="centerContinuous" vertical="center"/>
    </xf>
    <xf numFmtId="0" fontId="72" fillId="4" borderId="12" xfId="33" applyFont="1" applyFill="1" applyBorder="1" applyAlignment="1">
      <alignment horizontal="center" vertical="top" wrapText="1"/>
    </xf>
    <xf numFmtId="4" fontId="72" fillId="4" borderId="17" xfId="33" applyNumberFormat="1" applyFont="1" applyFill="1" applyBorder="1" applyAlignment="1">
      <alignment horizontal="center" wrapText="1"/>
    </xf>
    <xf numFmtId="4" fontId="72" fillId="4" borderId="18" xfId="33" applyNumberFormat="1" applyFont="1" applyFill="1" applyBorder="1" applyAlignment="1">
      <alignment horizontal="center" wrapText="1"/>
    </xf>
    <xf numFmtId="0" fontId="72" fillId="4" borderId="18" xfId="33" applyFont="1" applyFill="1" applyBorder="1" applyAlignment="1">
      <alignment horizontal="center" vertical="top" wrapText="1"/>
    </xf>
    <xf numFmtId="0" fontId="72" fillId="4" borderId="17" xfId="33" applyFont="1" applyFill="1" applyBorder="1" applyAlignment="1">
      <alignment horizontal="center" vertical="top" wrapText="1"/>
    </xf>
    <xf numFmtId="0" fontId="73" fillId="0" borderId="0" xfId="33" applyFont="1" applyAlignment="1">
      <alignment horizontal="center"/>
    </xf>
    <xf numFmtId="0" fontId="75" fillId="0" borderId="0" xfId="33" applyFont="1" applyAlignment="1">
      <alignment horizontal="centerContinuous" vertical="center"/>
    </xf>
    <xf numFmtId="43" fontId="15" fillId="0" borderId="7" xfId="7" applyFont="1" applyBorder="1" applyAlignment="1">
      <alignment horizontal="right"/>
    </xf>
    <xf numFmtId="43" fontId="15" fillId="0" borderId="8" xfId="7" applyFont="1" applyBorder="1" applyAlignment="1">
      <alignment horizontal="right"/>
    </xf>
    <xf numFmtId="43" fontId="15" fillId="0" borderId="19" xfId="7" applyFont="1" applyBorder="1" applyAlignment="1">
      <alignment horizontal="right"/>
    </xf>
    <xf numFmtId="43" fontId="15" fillId="0" borderId="20" xfId="7" applyFont="1" applyBorder="1" applyAlignment="1">
      <alignment horizontal="right"/>
    </xf>
    <xf numFmtId="0" fontId="5" fillId="0" borderId="0" xfId="36" applyFont="1"/>
    <xf numFmtId="0" fontId="12" fillId="0" borderId="0" xfId="36"/>
    <xf numFmtId="0" fontId="20" fillId="0" borderId="0" xfId="36" applyFont="1"/>
    <xf numFmtId="43" fontId="5" fillId="0" borderId="0" xfId="36" applyNumberFormat="1" applyFont="1"/>
    <xf numFmtId="0" fontId="76" fillId="0" borderId="0" xfId="36" applyFont="1"/>
    <xf numFmtId="0" fontId="5" fillId="0" borderId="21" xfId="36" applyFont="1" applyBorder="1" applyAlignment="1">
      <alignment horizontal="left" indent="1"/>
    </xf>
    <xf numFmtId="0" fontId="5" fillId="0" borderId="22" xfId="36" applyFont="1" applyBorder="1"/>
    <xf numFmtId="0" fontId="5" fillId="0" borderId="9" xfId="36" applyFont="1" applyBorder="1" applyAlignment="1">
      <alignment horizontal="center"/>
    </xf>
    <xf numFmtId="0" fontId="5" fillId="0" borderId="21" xfId="36" applyFont="1" applyBorder="1" applyAlignment="1">
      <alignment horizontal="left" vertical="center" indent="1"/>
    </xf>
    <xf numFmtId="0" fontId="5" fillId="0" borderId="23" xfId="36" applyFont="1" applyBorder="1"/>
    <xf numFmtId="0" fontId="5" fillId="0" borderId="19" xfId="36" applyFont="1" applyBorder="1" applyAlignment="1">
      <alignment horizontal="center"/>
    </xf>
    <xf numFmtId="0" fontId="2" fillId="0" borderId="0" xfId="36" applyFont="1" applyAlignment="1">
      <alignment horizontal="left"/>
    </xf>
    <xf numFmtId="39" fontId="2" fillId="0" borderId="0" xfId="7" applyNumberFormat="1" applyFont="1"/>
    <xf numFmtId="0" fontId="20" fillId="0" borderId="10" xfId="0" applyFont="1" applyBorder="1" applyAlignment="1">
      <alignment vertical="center" wrapText="1"/>
    </xf>
    <xf numFmtId="4" fontId="1" fillId="0" borderId="0" xfId="7" applyNumberFormat="1" applyAlignment="1"/>
    <xf numFmtId="0" fontId="20" fillId="0" borderId="10" xfId="0" applyFont="1" applyBorder="1" applyAlignment="1">
      <alignment wrapText="1"/>
    </xf>
    <xf numFmtId="4" fontId="20" fillId="0" borderId="10" xfId="0" applyNumberFormat="1" applyFont="1" applyBorder="1"/>
    <xf numFmtId="0" fontId="20" fillId="0" borderId="10" xfId="0" applyFont="1" applyBorder="1"/>
    <xf numFmtId="49" fontId="20" fillId="0" borderId="10" xfId="0" applyNumberFormat="1" applyFont="1" applyBorder="1" applyAlignment="1">
      <alignment horizontal="center"/>
    </xf>
    <xf numFmtId="1" fontId="20" fillId="0" borderId="10" xfId="0" applyNumberFormat="1" applyFont="1" applyBorder="1" applyAlignment="1">
      <alignment horizontal="center"/>
    </xf>
    <xf numFmtId="1" fontId="20" fillId="0" borderId="10" xfId="0" applyNumberFormat="1" applyFont="1" applyBorder="1" applyAlignment="1">
      <alignment horizontal="center" vertical="center"/>
    </xf>
    <xf numFmtId="49" fontId="20" fillId="0" borderId="10" xfId="0" applyNumberFormat="1" applyFont="1" applyFill="1" applyBorder="1" applyAlignment="1">
      <alignment horizontal="center" vertical="center"/>
    </xf>
    <xf numFmtId="49" fontId="20" fillId="0" borderId="10" xfId="0" applyNumberFormat="1" applyFont="1" applyFill="1" applyBorder="1" applyAlignment="1">
      <alignment horizontal="center"/>
    </xf>
    <xf numFmtId="0" fontId="21" fillId="0" borderId="24" xfId="0" applyFont="1" applyBorder="1" applyAlignment="1">
      <alignment vertical="center"/>
    </xf>
    <xf numFmtId="1" fontId="20" fillId="0" borderId="25" xfId="0" applyNumberFormat="1" applyFont="1" applyBorder="1" applyAlignment="1">
      <alignment horizontal="center" vertical="center"/>
    </xf>
    <xf numFmtId="49" fontId="20" fillId="0" borderId="25" xfId="0" applyNumberFormat="1" applyFont="1" applyBorder="1" applyAlignment="1">
      <alignment horizontal="center" vertical="center"/>
    </xf>
    <xf numFmtId="0" fontId="20" fillId="0" borderId="25" xfId="0" applyFont="1" applyBorder="1" applyAlignment="1">
      <alignment vertical="center"/>
    </xf>
    <xf numFmtId="49" fontId="20" fillId="0" borderId="0" xfId="0" applyNumberFormat="1" applyFont="1"/>
    <xf numFmtId="49" fontId="20" fillId="0" borderId="0" xfId="0" applyNumberFormat="1" applyFont="1" applyAlignment="1">
      <alignment horizontal="center"/>
    </xf>
    <xf numFmtId="4" fontId="22" fillId="0" borderId="25" xfId="0" applyNumberFormat="1" applyFont="1" applyBorder="1" applyAlignment="1">
      <alignment vertical="center"/>
    </xf>
    <xf numFmtId="4" fontId="22" fillId="0" borderId="26" xfId="0" applyNumberFormat="1" applyFont="1" applyBorder="1" applyAlignment="1">
      <alignment vertical="center"/>
    </xf>
    <xf numFmtId="0" fontId="77" fillId="0" borderId="0" xfId="40" applyFont="1" applyAlignment="1">
      <alignment vertical="top"/>
    </xf>
    <xf numFmtId="0" fontId="78" fillId="0" borderId="0" xfId="0" applyFont="1" applyAlignment="1"/>
    <xf numFmtId="0" fontId="78" fillId="0" borderId="0" xfId="0" applyFont="1"/>
    <xf numFmtId="0" fontId="79" fillId="0" borderId="0" xfId="0" applyFont="1" applyAlignment="1">
      <alignment horizontal="center" vertical="center" wrapText="1"/>
    </xf>
    <xf numFmtId="0" fontId="78" fillId="0" borderId="0" xfId="0" applyFont="1" applyAlignment="1">
      <alignment horizontal="center" vertical="center" wrapText="1"/>
    </xf>
    <xf numFmtId="0" fontId="78" fillId="0" borderId="0" xfId="0" applyFont="1" applyAlignment="1">
      <alignment vertical="center"/>
    </xf>
    <xf numFmtId="0" fontId="78" fillId="0" borderId="0" xfId="0" applyFont="1" applyFill="1"/>
    <xf numFmtId="4" fontId="21" fillId="3" borderId="27" xfId="0" applyNumberFormat="1" applyFont="1" applyFill="1" applyBorder="1" applyAlignment="1">
      <alignment horizontal="center" vertical="center" wrapText="1"/>
    </xf>
    <xf numFmtId="49" fontId="22" fillId="3" borderId="27" xfId="0" applyNumberFormat="1" applyFont="1" applyFill="1" applyBorder="1" applyAlignment="1">
      <alignment horizontal="center" vertical="center" wrapText="1"/>
    </xf>
    <xf numFmtId="49" fontId="21" fillId="3" borderId="27" xfId="0" applyNumberFormat="1" applyFont="1" applyFill="1" applyBorder="1" applyAlignment="1">
      <alignment horizontal="center" vertical="center" wrapText="1"/>
    </xf>
    <xf numFmtId="0" fontId="20" fillId="3" borderId="27" xfId="0" applyFont="1" applyFill="1" applyBorder="1" applyAlignment="1">
      <alignment horizontal="center" vertical="center" wrapText="1"/>
    </xf>
    <xf numFmtId="4" fontId="21" fillId="3" borderId="28" xfId="0" applyNumberFormat="1" applyFont="1" applyFill="1" applyBorder="1" applyAlignment="1">
      <alignment horizontal="center" vertical="center" wrapText="1"/>
    </xf>
    <xf numFmtId="0" fontId="20" fillId="0" borderId="29" xfId="0" applyFont="1" applyBorder="1" applyAlignment="1">
      <alignment vertical="center" wrapText="1"/>
    </xf>
    <xf numFmtId="4" fontId="20" fillId="0" borderId="29" xfId="0" applyNumberFormat="1" applyFont="1" applyBorder="1"/>
    <xf numFmtId="1" fontId="20" fillId="0" borderId="29" xfId="0" applyNumberFormat="1" applyFont="1" applyBorder="1" applyAlignment="1">
      <alignment horizontal="center"/>
    </xf>
    <xf numFmtId="49" fontId="20" fillId="0" borderId="29" xfId="0" applyNumberFormat="1" applyFont="1" applyBorder="1" applyAlignment="1">
      <alignment horizontal="center"/>
    </xf>
    <xf numFmtId="0" fontId="20" fillId="0" borderId="29" xfId="0" applyFont="1" applyBorder="1"/>
    <xf numFmtId="0" fontId="20" fillId="0" borderId="30" xfId="0" applyFont="1" applyBorder="1" applyAlignment="1">
      <alignment vertical="center" wrapText="1"/>
    </xf>
    <xf numFmtId="4" fontId="20" fillId="0" borderId="30" xfId="0" applyNumberFormat="1" applyFont="1" applyBorder="1"/>
    <xf numFmtId="1" fontId="20" fillId="0" borderId="30" xfId="0" applyNumberFormat="1" applyFont="1" applyBorder="1" applyAlignment="1">
      <alignment horizontal="center"/>
    </xf>
    <xf numFmtId="49" fontId="20" fillId="0" borderId="30" xfId="0" applyNumberFormat="1" applyFont="1" applyBorder="1" applyAlignment="1">
      <alignment horizontal="center"/>
    </xf>
    <xf numFmtId="0" fontId="21" fillId="0" borderId="30" xfId="0" applyFont="1" applyBorder="1"/>
    <xf numFmtId="0" fontId="82" fillId="0" borderId="0" xfId="0" applyFont="1" applyAlignment="1">
      <alignment vertical="center"/>
    </xf>
    <xf numFmtId="0" fontId="5" fillId="0" borderId="0" xfId="0" applyFont="1" applyFill="1" applyAlignment="1">
      <alignment horizontal="left"/>
    </xf>
    <xf numFmtId="0" fontId="20" fillId="0" borderId="0" xfId="0" applyFont="1" applyAlignment="1">
      <alignment horizontal="left"/>
    </xf>
    <xf numFmtId="4" fontId="40" fillId="0" borderId="0" xfId="0" applyNumberFormat="1" applyFont="1" applyAlignment="1">
      <alignment horizontal="left"/>
    </xf>
    <xf numFmtId="0" fontId="54" fillId="3" borderId="31" xfId="33" applyFont="1" applyFill="1" applyBorder="1" applyAlignment="1">
      <alignment horizontal="right" vertical="center" wrapText="1"/>
    </xf>
    <xf numFmtId="0" fontId="55" fillId="3" borderId="27" xfId="33" applyFont="1" applyFill="1" applyBorder="1" applyAlignment="1">
      <alignment horizontal="center" vertical="center" wrapText="1"/>
    </xf>
    <xf numFmtId="0" fontId="54" fillId="3" borderId="27" xfId="33" applyFont="1" applyFill="1" applyBorder="1" applyAlignment="1">
      <alignment vertical="center" wrapText="1"/>
    </xf>
    <xf numFmtId="4" fontId="55" fillId="3" borderId="27" xfId="33" applyNumberFormat="1" applyFont="1" applyFill="1" applyBorder="1" applyAlignment="1" applyProtection="1">
      <alignment horizontal="right" vertical="center" wrapText="1"/>
      <protection locked="0"/>
    </xf>
    <xf numFmtId="4" fontId="55" fillId="3" borderId="28" xfId="33" applyNumberFormat="1" applyFont="1" applyFill="1" applyBorder="1" applyAlignment="1" applyProtection="1">
      <alignment horizontal="right" vertical="center" wrapText="1"/>
      <protection locked="0"/>
    </xf>
    <xf numFmtId="0" fontId="54" fillId="0" borderId="0" xfId="33" applyFont="1" applyAlignment="1">
      <alignment vertical="center"/>
    </xf>
    <xf numFmtId="0" fontId="47" fillId="3" borderId="32" xfId="33" applyFont="1" applyFill="1" applyBorder="1" applyAlignment="1">
      <alignment horizontal="right" vertical="center"/>
    </xf>
    <xf numFmtId="0" fontId="48" fillId="3" borderId="33" xfId="33" applyFont="1" applyFill="1" applyBorder="1" applyAlignment="1">
      <alignment vertical="center" wrapText="1"/>
    </xf>
    <xf numFmtId="4" fontId="47" fillId="3" borderId="33" xfId="33" applyNumberFormat="1" applyFont="1" applyFill="1" applyBorder="1" applyAlignment="1" applyProtection="1">
      <alignment horizontal="right" vertical="center" wrapText="1"/>
      <protection locked="0"/>
    </xf>
    <xf numFmtId="4" fontId="47" fillId="3" borderId="34" xfId="33" applyNumberFormat="1" applyFont="1" applyFill="1" applyBorder="1" applyAlignment="1" applyProtection="1">
      <alignment horizontal="right" vertical="center" wrapText="1"/>
      <protection locked="0"/>
    </xf>
    <xf numFmtId="0" fontId="12" fillId="0" borderId="0" xfId="33" applyAlignment="1">
      <alignment vertical="center"/>
    </xf>
    <xf numFmtId="49" fontId="21" fillId="4" borderId="12" xfId="40" applyNumberFormat="1" applyFont="1" applyFill="1" applyBorder="1" applyAlignment="1">
      <alignment vertical="center"/>
    </xf>
    <xf numFmtId="49" fontId="21" fillId="4" borderId="18" xfId="40" applyNumberFormat="1" applyFont="1" applyFill="1" applyBorder="1" applyAlignment="1">
      <alignment horizontal="centerContinuous" vertical="center"/>
    </xf>
    <xf numFmtId="49" fontId="21" fillId="4" borderId="13" xfId="40" applyNumberFormat="1" applyFont="1" applyFill="1" applyBorder="1" applyAlignment="1">
      <alignment vertical="center"/>
    </xf>
    <xf numFmtId="49" fontId="21" fillId="4" borderId="35" xfId="40" applyNumberFormat="1" applyFont="1" applyFill="1" applyBorder="1" applyAlignment="1">
      <alignment vertical="center"/>
    </xf>
    <xf numFmtId="49" fontId="11" fillId="0" borderId="0" xfId="40" applyNumberFormat="1" applyFont="1" applyAlignment="1">
      <alignment horizontal="center" vertical="top"/>
    </xf>
    <xf numFmtId="0" fontId="8" fillId="0" borderId="0" xfId="36" applyFont="1"/>
    <xf numFmtId="0" fontId="11" fillId="0" borderId="36" xfId="0" applyFont="1" applyBorder="1" applyAlignment="1">
      <alignment horizontal="left"/>
    </xf>
    <xf numFmtId="43" fontId="19" fillId="0" borderId="9" xfId="7" applyFont="1" applyBorder="1" applyAlignment="1">
      <alignment horizontal="right"/>
    </xf>
    <xf numFmtId="10" fontId="19" fillId="0" borderId="4" xfId="48" applyNumberFormat="1" applyFont="1" applyBorder="1" applyAlignment="1">
      <alignment horizontal="right"/>
    </xf>
    <xf numFmtId="10" fontId="5" fillId="0" borderId="4" xfId="48" applyNumberFormat="1" applyFont="1" applyBorder="1" applyAlignment="1">
      <alignment horizontal="right"/>
    </xf>
    <xf numFmtId="43" fontId="9" fillId="0" borderId="37" xfId="7" applyFont="1" applyBorder="1" applyAlignment="1">
      <alignment horizontal="right"/>
    </xf>
    <xf numFmtId="43" fontId="9" fillId="0" borderId="38" xfId="7" applyFont="1" applyBorder="1" applyAlignment="1">
      <alignment horizontal="right"/>
    </xf>
    <xf numFmtId="43" fontId="11" fillId="0" borderId="20" xfId="7" applyFont="1" applyBorder="1" applyAlignment="1">
      <alignment horizontal="right" vertical="center"/>
    </xf>
    <xf numFmtId="43" fontId="9" fillId="0" borderId="39" xfId="7" applyFont="1" applyBorder="1" applyAlignment="1">
      <alignment horizontal="right"/>
    </xf>
    <xf numFmtId="0" fontId="74" fillId="0" borderId="0" xfId="33" applyFont="1" applyAlignment="1">
      <alignment horizontal="centerContinuous"/>
    </xf>
    <xf numFmtId="0" fontId="11" fillId="0" borderId="0" xfId="33" applyFont="1" applyAlignment="1">
      <alignment horizontal="centerContinuous"/>
    </xf>
    <xf numFmtId="0" fontId="70" fillId="0" borderId="0" xfId="33" applyFont="1" applyAlignment="1">
      <alignment horizontal="centerContinuous"/>
    </xf>
    <xf numFmtId="0" fontId="12" fillId="0" borderId="0" xfId="33" applyAlignment="1"/>
    <xf numFmtId="0" fontId="48" fillId="0" borderId="14" xfId="33" applyFont="1" applyBorder="1" applyAlignment="1">
      <alignment horizontal="right" vertical="center" wrapText="1"/>
    </xf>
    <xf numFmtId="0" fontId="48" fillId="0" borderId="15" xfId="33" applyFont="1" applyBorder="1" applyAlignment="1">
      <alignment vertical="center" wrapText="1"/>
    </xf>
    <xf numFmtId="0" fontId="48" fillId="0" borderId="15" xfId="33" applyFont="1" applyBorder="1" applyAlignment="1">
      <alignment horizontal="center" vertical="center" wrapText="1"/>
    </xf>
    <xf numFmtId="4" fontId="47" fillId="0" borderId="15" xfId="33" applyNumberFormat="1" applyFont="1" applyBorder="1" applyAlignment="1" applyProtection="1">
      <alignment horizontal="right" vertical="center" wrapText="1"/>
      <protection locked="0"/>
    </xf>
    <xf numFmtId="4" fontId="48" fillId="0" borderId="16" xfId="33" applyNumberFormat="1" applyFont="1" applyBorder="1" applyAlignment="1" applyProtection="1">
      <alignment horizontal="left" vertical="center" wrapText="1"/>
      <protection locked="0"/>
    </xf>
    <xf numFmtId="0" fontId="71" fillId="3" borderId="32" xfId="33" applyFont="1" applyFill="1" applyBorder="1" applyAlignment="1">
      <alignment horizontal="right" vertical="center" wrapText="1"/>
    </xf>
    <xf numFmtId="0" fontId="71" fillId="3" borderId="33" xfId="33" applyFont="1" applyFill="1" applyBorder="1" applyAlignment="1">
      <alignment vertical="center" wrapText="1"/>
    </xf>
    <xf numFmtId="4" fontId="71" fillId="3" borderId="33" xfId="33" applyNumberFormat="1" applyFont="1" applyFill="1" applyBorder="1" applyAlignment="1">
      <alignment horizontal="right" vertical="center" wrapText="1"/>
    </xf>
    <xf numFmtId="4" fontId="71" fillId="3" borderId="34" xfId="33" applyNumberFormat="1" applyFont="1" applyFill="1" applyBorder="1" applyAlignment="1">
      <alignment horizontal="center" vertical="center" wrapText="1"/>
    </xf>
    <xf numFmtId="0" fontId="71" fillId="5" borderId="14" xfId="33" applyFont="1" applyFill="1" applyBorder="1" applyAlignment="1">
      <alignment horizontal="right" vertical="center" wrapText="1"/>
    </xf>
    <xf numFmtId="0" fontId="71" fillId="5" borderId="15" xfId="33" applyFont="1" applyFill="1" applyBorder="1" applyAlignment="1">
      <alignment vertical="center" wrapText="1"/>
    </xf>
    <xf numFmtId="4" fontId="71" fillId="5" borderId="15" xfId="33" applyNumberFormat="1" applyFont="1" applyFill="1" applyBorder="1" applyAlignment="1">
      <alignment horizontal="right" vertical="center" wrapText="1"/>
    </xf>
    <xf numFmtId="4" fontId="71" fillId="5" borderId="16" xfId="33" applyNumberFormat="1" applyFont="1" applyFill="1" applyBorder="1" applyAlignment="1">
      <alignment horizontal="right" vertical="center" wrapText="1"/>
    </xf>
    <xf numFmtId="0" fontId="48" fillId="5" borderId="15" xfId="33" applyFont="1" applyFill="1" applyBorder="1" applyAlignment="1">
      <alignment vertical="center" wrapText="1"/>
    </xf>
    <xf numFmtId="4" fontId="47" fillId="5" borderId="15" xfId="33" applyNumberFormat="1" applyFont="1" applyFill="1" applyBorder="1" applyAlignment="1" applyProtection="1">
      <alignment horizontal="right" vertical="center" wrapText="1"/>
      <protection locked="0"/>
    </xf>
    <xf numFmtId="4" fontId="47" fillId="5" borderId="16" xfId="33" applyNumberFormat="1" applyFont="1" applyFill="1" applyBorder="1" applyAlignment="1" applyProtection="1">
      <alignment horizontal="right" vertical="center" wrapText="1"/>
      <protection locked="0"/>
    </xf>
    <xf numFmtId="0" fontId="5" fillId="0" borderId="1" xfId="36" applyFont="1" applyBorder="1"/>
    <xf numFmtId="43" fontId="5" fillId="0" borderId="1" xfId="7" applyFont="1" applyBorder="1"/>
    <xf numFmtId="0" fontId="8" fillId="0" borderId="40" xfId="0" applyFont="1" applyBorder="1" applyAlignment="1">
      <alignment horizontal="left" indent="2"/>
    </xf>
    <xf numFmtId="0" fontId="8" fillId="0" borderId="41" xfId="0" applyFont="1" applyBorder="1" applyAlignment="1">
      <alignment horizontal="left" indent="2"/>
    </xf>
    <xf numFmtId="0" fontId="11" fillId="0" borderId="6" xfId="0" applyFont="1" applyBorder="1" applyAlignment="1">
      <alignment horizontal="center" vertical="center"/>
    </xf>
    <xf numFmtId="0" fontId="8" fillId="0" borderId="42" xfId="0" applyFont="1" applyBorder="1" applyAlignment="1">
      <alignment horizontal="left" indent="2"/>
    </xf>
    <xf numFmtId="0" fontId="8" fillId="0" borderId="43" xfId="0" applyFont="1" applyBorder="1" applyAlignment="1">
      <alignment horizontal="left" indent="2"/>
    </xf>
    <xf numFmtId="0" fontId="11" fillId="0" borderId="44" xfId="0" applyFont="1" applyBorder="1" applyAlignment="1">
      <alignment horizontal="center" vertical="center"/>
    </xf>
    <xf numFmtId="0" fontId="5" fillId="0" borderId="44" xfId="36" applyFont="1" applyBorder="1" applyAlignment="1">
      <alignment horizontal="left" vertical="center" indent="1"/>
    </xf>
    <xf numFmtId="43" fontId="5" fillId="0" borderId="20" xfId="7" applyFont="1" applyBorder="1"/>
    <xf numFmtId="0" fontId="17" fillId="0" borderId="0" xfId="0" applyFont="1" applyAlignment="1">
      <alignment horizontal="center"/>
    </xf>
    <xf numFmtId="0" fontId="18" fillId="0" borderId="0" xfId="0" applyFont="1"/>
    <xf numFmtId="43" fontId="8" fillId="0" borderId="45" xfId="7" applyFont="1" applyBorder="1"/>
    <xf numFmtId="0" fontId="8" fillId="0" borderId="0" xfId="0" applyFont="1"/>
    <xf numFmtId="0" fontId="2" fillId="0" borderId="0" xfId="0" applyFont="1" applyAlignment="1">
      <alignment horizontal="center"/>
    </xf>
    <xf numFmtId="0" fontId="20" fillId="0" borderId="10" xfId="0" applyFont="1" applyBorder="1" applyAlignment="1">
      <alignment vertical="top" wrapText="1"/>
    </xf>
    <xf numFmtId="43" fontId="5" fillId="0" borderId="10" xfId="7" applyFont="1" applyBorder="1"/>
    <xf numFmtId="0" fontId="2" fillId="6" borderId="24" xfId="39" applyFont="1" applyFill="1" applyBorder="1" applyAlignment="1">
      <alignment horizontal="center" vertical="center" wrapText="1"/>
    </xf>
    <xf numFmtId="0" fontId="21" fillId="6" borderId="25" xfId="39" applyFont="1" applyFill="1" applyBorder="1" applyAlignment="1">
      <alignment horizontal="center" vertical="center" wrapText="1"/>
    </xf>
    <xf numFmtId="43" fontId="21" fillId="6" borderId="46" xfId="7" applyFont="1" applyFill="1" applyBorder="1" applyAlignment="1">
      <alignment horizontal="center" vertical="center" wrapText="1"/>
    </xf>
    <xf numFmtId="0" fontId="5" fillId="0" borderId="36" xfId="0" applyFont="1" applyBorder="1" applyAlignment="1">
      <alignment horizontal="left" indent="2"/>
    </xf>
    <xf numFmtId="43" fontId="22" fillId="4" borderId="15" xfId="7" applyFont="1" applyFill="1" applyBorder="1" applyAlignment="1">
      <alignment horizontal="center" vertical="center" wrapText="1"/>
    </xf>
    <xf numFmtId="0" fontId="2" fillId="2" borderId="47" xfId="0" applyNumberFormat="1" applyFont="1" applyFill="1" applyBorder="1" applyAlignment="1">
      <alignment horizontal="center" vertical="center"/>
    </xf>
    <xf numFmtId="0" fontId="2" fillId="2" borderId="29" xfId="0" applyNumberFormat="1" applyFont="1" applyFill="1" applyBorder="1" applyAlignment="1">
      <alignment horizontal="center" vertical="center"/>
    </xf>
    <xf numFmtId="0" fontId="2" fillId="2" borderId="48" xfId="0" applyNumberFormat="1" applyFont="1" applyFill="1" applyBorder="1" applyAlignment="1">
      <alignment horizontal="center" vertical="center"/>
    </xf>
    <xf numFmtId="0" fontId="47" fillId="3" borderId="33" xfId="33" applyFont="1" applyFill="1" applyBorder="1" applyAlignment="1">
      <alignment vertical="center"/>
    </xf>
    <xf numFmtId="0" fontId="83" fillId="0" borderId="0" xfId="0" applyFont="1"/>
    <xf numFmtId="4" fontId="5" fillId="0" borderId="0" xfId="0" applyNumberFormat="1" applyFont="1" applyBorder="1" applyAlignment="1">
      <alignment horizontal="center"/>
    </xf>
    <xf numFmtId="180" fontId="84" fillId="0" borderId="0" xfId="0" applyNumberFormat="1" applyFont="1" applyBorder="1" applyAlignment="1">
      <alignment horizontal="center"/>
    </xf>
    <xf numFmtId="4" fontId="2" fillId="0" borderId="0" xfId="0" applyNumberFormat="1" applyFont="1" applyAlignment="1">
      <alignment horizontal="left"/>
    </xf>
    <xf numFmtId="4" fontId="8" fillId="0" borderId="1" xfId="7" applyNumberFormat="1" applyFont="1" applyFill="1" applyBorder="1" applyAlignment="1">
      <alignment horizontal="right" vertical="center"/>
    </xf>
    <xf numFmtId="0" fontId="21" fillId="0" borderId="0" xfId="39" applyFont="1" applyFill="1" applyAlignment="1">
      <alignment horizontal="left" vertical="center"/>
    </xf>
    <xf numFmtId="0" fontId="14" fillId="0" borderId="0" xfId="39" applyFont="1" applyFill="1" applyAlignment="1">
      <alignment horizontal="left" vertical="center"/>
    </xf>
    <xf numFmtId="49" fontId="5" fillId="0" borderId="0" xfId="39" applyNumberFormat="1" applyFont="1" applyFill="1" applyAlignment="1">
      <alignment vertical="center"/>
    </xf>
    <xf numFmtId="4" fontId="2" fillId="0" borderId="49" xfId="7" applyNumberFormat="1" applyFont="1" applyFill="1" applyBorder="1" applyAlignment="1">
      <alignment horizontal="right" vertical="center"/>
    </xf>
    <xf numFmtId="0" fontId="5" fillId="0" borderId="0" xfId="39" applyFont="1" applyFill="1" applyAlignment="1">
      <alignment vertical="center"/>
    </xf>
    <xf numFmtId="0" fontId="9" fillId="0" borderId="0" xfId="39" applyFont="1" applyFill="1" applyAlignment="1">
      <alignment vertical="top"/>
    </xf>
    <xf numFmtId="0" fontId="9" fillId="0" borderId="0" xfId="39" applyFont="1" applyFill="1"/>
    <xf numFmtId="0" fontId="20" fillId="0" borderId="0" xfId="39" applyFont="1" applyFill="1" applyAlignment="1">
      <alignment vertical="top"/>
    </xf>
    <xf numFmtId="4" fontId="21" fillId="0" borderId="1" xfId="7" applyNumberFormat="1" applyFont="1" applyFill="1" applyBorder="1" applyAlignment="1">
      <alignment horizontal="right" vertical="center"/>
    </xf>
    <xf numFmtId="43" fontId="57" fillId="0" borderId="0" xfId="7" applyFont="1" applyFill="1" applyAlignment="1">
      <alignment horizontal="right"/>
    </xf>
    <xf numFmtId="10" fontId="21" fillId="0" borderId="1" xfId="48" applyNumberFormat="1" applyFont="1" applyFill="1" applyBorder="1" applyAlignment="1">
      <alignment horizontal="right" vertical="center"/>
    </xf>
    <xf numFmtId="0" fontId="0" fillId="0" borderId="0" xfId="0" applyAlignment="1">
      <alignment horizontal="right"/>
    </xf>
    <xf numFmtId="0" fontId="20" fillId="0" borderId="10" xfId="0" applyFont="1" applyFill="1" applyBorder="1"/>
    <xf numFmtId="4" fontId="37" fillId="2" borderId="5" xfId="7" applyNumberFormat="1" applyFont="1" applyFill="1" applyBorder="1" applyAlignment="1"/>
    <xf numFmtId="0" fontId="5" fillId="4" borderId="1" xfId="36" applyFont="1" applyFill="1" applyBorder="1"/>
    <xf numFmtId="43" fontId="5" fillId="4" borderId="1" xfId="7" applyFont="1" applyFill="1" applyBorder="1"/>
    <xf numFmtId="10" fontId="5" fillId="4" borderId="1" xfId="48" applyNumberFormat="1" applyFont="1" applyFill="1" applyBorder="1" applyAlignment="1">
      <alignment horizontal="centerContinuous"/>
    </xf>
    <xf numFmtId="0" fontId="2" fillId="4" borderId="50" xfId="36" applyFont="1" applyFill="1" applyBorder="1"/>
    <xf numFmtId="43" fontId="2" fillId="4" borderId="50" xfId="7" applyFont="1" applyFill="1" applyBorder="1"/>
    <xf numFmtId="39" fontId="19" fillId="4" borderId="50" xfId="7" applyNumberFormat="1" applyFont="1" applyFill="1" applyBorder="1"/>
    <xf numFmtId="0" fontId="2" fillId="4" borderId="0" xfId="36" applyFont="1" applyFill="1" applyBorder="1"/>
    <xf numFmtId="43" fontId="5" fillId="4" borderId="0" xfId="7" applyFont="1" applyFill="1" applyBorder="1"/>
    <xf numFmtId="0" fontId="5" fillId="4" borderId="0" xfId="36" applyFont="1" applyFill="1" applyBorder="1"/>
    <xf numFmtId="43" fontId="2" fillId="4" borderId="0" xfId="7" applyFont="1" applyFill="1" applyBorder="1"/>
    <xf numFmtId="10" fontId="11" fillId="4" borderId="0" xfId="48" applyNumberFormat="1" applyFont="1" applyFill="1" applyBorder="1" applyAlignment="1">
      <alignment horizontal="right"/>
    </xf>
    <xf numFmtId="0" fontId="57" fillId="0" borderId="0" xfId="39" applyFont="1" applyFill="1" applyAlignment="1">
      <alignment horizontal="justify" vertical="justify"/>
    </xf>
    <xf numFmtId="0" fontId="56" fillId="0" borderId="51" xfId="0" applyFont="1" applyBorder="1" applyAlignment="1">
      <alignment horizontal="center"/>
    </xf>
    <xf numFmtId="0" fontId="56" fillId="0" borderId="52" xfId="0" applyFont="1" applyBorder="1" applyAlignment="1">
      <alignment horizontal="center"/>
    </xf>
    <xf numFmtId="0" fontId="0" fillId="0" borderId="29" xfId="0" applyBorder="1"/>
    <xf numFmtId="43" fontId="1" fillId="0" borderId="29" xfId="7" applyBorder="1"/>
    <xf numFmtId="0" fontId="17" fillId="0" borderId="10" xfId="0" applyFont="1" applyBorder="1" applyAlignment="1">
      <alignment horizontal="center"/>
    </xf>
    <xf numFmtId="0" fontId="17" fillId="0" borderId="10" xfId="0" applyFont="1" applyBorder="1" applyAlignment="1">
      <alignment horizontal="justify"/>
    </xf>
    <xf numFmtId="43" fontId="1" fillId="0" borderId="10" xfId="7" applyBorder="1"/>
    <xf numFmtId="0" fontId="17" fillId="0" borderId="10" xfId="0" applyFont="1" applyBorder="1" applyAlignment="1">
      <alignment horizontal="center" vertical="center"/>
    </xf>
    <xf numFmtId="0" fontId="0" fillId="0" borderId="53" xfId="0" applyBorder="1"/>
    <xf numFmtId="43" fontId="1" fillId="0" borderId="53" xfId="7" applyBorder="1"/>
    <xf numFmtId="0" fontId="5" fillId="0" borderId="10" xfId="0" applyFont="1" applyBorder="1" applyAlignment="1">
      <alignment horizontal="justify"/>
    </xf>
    <xf numFmtId="0" fontId="17" fillId="0" borderId="10" xfId="0" applyFont="1" applyBorder="1" applyAlignment="1">
      <alignment horizontal="left"/>
    </xf>
    <xf numFmtId="0" fontId="2" fillId="0" borderId="10" xfId="0" applyFont="1" applyBorder="1"/>
    <xf numFmtId="43" fontId="19" fillId="0" borderId="10" xfId="7" applyFont="1" applyBorder="1"/>
    <xf numFmtId="0" fontId="17" fillId="0" borderId="10" xfId="0" applyFont="1" applyBorder="1" applyAlignment="1">
      <alignment horizontal="center" vertical="top"/>
    </xf>
    <xf numFmtId="0" fontId="17" fillId="0" borderId="53" xfId="0" applyFont="1" applyBorder="1" applyAlignment="1">
      <alignment horizontal="center"/>
    </xf>
    <xf numFmtId="0" fontId="5" fillId="0" borderId="53" xfId="0" applyFont="1" applyBorder="1" applyAlignment="1">
      <alignment horizontal="justify"/>
    </xf>
    <xf numFmtId="0" fontId="0" fillId="0" borderId="29" xfId="0" applyBorder="1" applyAlignment="1">
      <alignment horizontal="left" indent="2"/>
    </xf>
    <xf numFmtId="0" fontId="0" fillId="0" borderId="10" xfId="0" applyBorder="1" applyAlignment="1">
      <alignment horizontal="left" indent="2"/>
    </xf>
    <xf numFmtId="0" fontId="0" fillId="0" borderId="53" xfId="0" applyBorder="1" applyAlignment="1">
      <alignment horizontal="left" indent="2"/>
    </xf>
    <xf numFmtId="43" fontId="0" fillId="0" borderId="53" xfId="0" applyNumberFormat="1" applyBorder="1"/>
    <xf numFmtId="0" fontId="84" fillId="0" borderId="54" xfId="0" applyFont="1" applyBorder="1" applyAlignment="1">
      <alignment horizontal="center"/>
    </xf>
    <xf numFmtId="4" fontId="1" fillId="0" borderId="0" xfId="7" applyNumberFormat="1"/>
    <xf numFmtId="0" fontId="15" fillId="0" borderId="0" xfId="0" applyFont="1" applyAlignment="1">
      <alignment vertical="center" wrapText="1"/>
    </xf>
    <xf numFmtId="0" fontId="21" fillId="0" borderId="0" xfId="0" applyFont="1"/>
    <xf numFmtId="0" fontId="5" fillId="0" borderId="29" xfId="0" applyFont="1" applyBorder="1"/>
    <xf numFmtId="0" fontId="11" fillId="0" borderId="10" xfId="0" applyFont="1" applyBorder="1" applyAlignment="1">
      <alignment horizontal="left"/>
    </xf>
    <xf numFmtId="0" fontId="43" fillId="0" borderId="10" xfId="0" applyFont="1" applyFill="1" applyBorder="1" applyAlignment="1">
      <alignment horizontal="left"/>
    </xf>
    <xf numFmtId="0" fontId="21" fillId="0" borderId="10" xfId="0" applyFont="1" applyFill="1" applyBorder="1" applyAlignment="1">
      <alignment horizontal="left"/>
    </xf>
    <xf numFmtId="0" fontId="20" fillId="0" borderId="10" xfId="0" applyFont="1" applyFill="1" applyBorder="1" applyAlignment="1">
      <alignment horizontal="left"/>
    </xf>
    <xf numFmtId="0" fontId="21" fillId="0" borderId="10" xfId="0" applyFont="1" applyFill="1" applyBorder="1" applyAlignment="1">
      <alignment horizontal="left" vertical="center"/>
    </xf>
    <xf numFmtId="0" fontId="57" fillId="0" borderId="10" xfId="0" applyFont="1" applyFill="1" applyBorder="1" applyAlignment="1">
      <alignment horizontal="left"/>
    </xf>
    <xf numFmtId="0" fontId="21" fillId="0" borderId="10" xfId="0" applyFont="1" applyBorder="1" applyAlignment="1">
      <alignment horizontal="left"/>
    </xf>
    <xf numFmtId="0" fontId="20" fillId="0" borderId="10" xfId="0" applyFont="1" applyFill="1" applyBorder="1" applyAlignment="1">
      <alignment horizontal="left" readingOrder="1"/>
    </xf>
    <xf numFmtId="0" fontId="20" fillId="0" borderId="10" xfId="0" applyFont="1" applyBorder="1" applyAlignment="1">
      <alignment horizontal="left"/>
    </xf>
    <xf numFmtId="49" fontId="20" fillId="0" borderId="10" xfId="0" applyNumberFormat="1" applyFont="1" applyFill="1" applyBorder="1" applyProtection="1"/>
    <xf numFmtId="0" fontId="67" fillId="0" borderId="10" xfId="0" applyFont="1" applyFill="1" applyBorder="1" applyAlignment="1">
      <alignment horizontal="left"/>
    </xf>
    <xf numFmtId="0" fontId="20" fillId="0" borderId="10" xfId="0" applyFont="1" applyFill="1" applyBorder="1" applyAlignment="1">
      <alignment horizontal="left" vertical="center"/>
    </xf>
    <xf numFmtId="0" fontId="20" fillId="0" borderId="53" xfId="0" applyFont="1" applyBorder="1"/>
    <xf numFmtId="4" fontId="20" fillId="0" borderId="53" xfId="7" applyNumberFormat="1" applyFont="1" applyBorder="1"/>
    <xf numFmtId="43" fontId="0" fillId="7" borderId="10" xfId="7" applyFont="1" applyFill="1" applyBorder="1"/>
    <xf numFmtId="4" fontId="47" fillId="0" borderId="29" xfId="7" applyNumberFormat="1" applyFont="1" applyBorder="1" applyAlignment="1">
      <alignment horizontal="center"/>
    </xf>
    <xf numFmtId="4" fontId="86" fillId="0" borderId="10" xfId="7" applyNumberFormat="1" applyFont="1" applyBorder="1"/>
    <xf numFmtId="4" fontId="48" fillId="0" borderId="10" xfId="7" applyNumberFormat="1" applyFont="1" applyBorder="1"/>
    <xf numFmtId="4" fontId="87" fillId="0" borderId="10" xfId="7" applyNumberFormat="1" applyFont="1" applyFill="1" applyBorder="1" applyProtection="1"/>
    <xf numFmtId="4" fontId="88" fillId="0" borderId="10" xfId="7" applyNumberFormat="1" applyFont="1" applyBorder="1"/>
    <xf numFmtId="4" fontId="89" fillId="0" borderId="10" xfId="7" applyNumberFormat="1" applyFont="1" applyBorder="1"/>
    <xf numFmtId="0" fontId="17" fillId="0" borderId="0" xfId="0" applyFont="1" applyBorder="1" applyAlignment="1">
      <alignment horizontal="left"/>
    </xf>
    <xf numFmtId="0" fontId="2" fillId="0" borderId="0" xfId="0" applyFont="1" applyBorder="1"/>
    <xf numFmtId="43" fontId="19" fillId="0" borderId="0" xfId="7" applyFont="1" applyBorder="1"/>
    <xf numFmtId="0" fontId="85" fillId="0" borderId="0" xfId="0" applyFont="1" applyFill="1" applyBorder="1" applyAlignment="1">
      <alignment vertical="top" wrapText="1"/>
    </xf>
    <xf numFmtId="0" fontId="57" fillId="0" borderId="10" xfId="0" applyFont="1" applyBorder="1" applyAlignment="1">
      <alignment vertical="center" wrapText="1"/>
    </xf>
    <xf numFmtId="0" fontId="20" fillId="0" borderId="55" xfId="0" applyFont="1" applyBorder="1" applyAlignment="1" applyProtection="1">
      <alignment horizontal="center" vertical="center"/>
      <protection locked="0"/>
    </xf>
    <xf numFmtId="4" fontId="20" fillId="0" borderId="43" xfId="0" applyNumberFormat="1" applyFont="1" applyBorder="1" applyAlignment="1" applyProtection="1">
      <alignment vertical="center"/>
      <protection locked="0"/>
    </xf>
    <xf numFmtId="4" fontId="21" fillId="0" borderId="56" xfId="0" applyNumberFormat="1" applyFont="1" applyFill="1" applyBorder="1" applyAlignment="1" applyProtection="1">
      <alignment vertical="center"/>
      <protection locked="0"/>
    </xf>
    <xf numFmtId="4" fontId="20" fillId="0" borderId="56" xfId="0" applyNumberFormat="1" applyFont="1" applyFill="1" applyBorder="1" applyAlignment="1" applyProtection="1">
      <alignment vertical="center"/>
      <protection locked="0"/>
    </xf>
    <xf numFmtId="4" fontId="20" fillId="0" borderId="41" xfId="0" applyNumberFormat="1" applyFont="1" applyFill="1" applyBorder="1" applyAlignment="1" applyProtection="1">
      <alignment vertical="center"/>
      <protection locked="0"/>
    </xf>
    <xf numFmtId="0" fontId="20" fillId="0" borderId="55" xfId="0" applyFont="1" applyFill="1" applyBorder="1" applyAlignment="1" applyProtection="1">
      <alignment horizontal="center" vertical="center"/>
      <protection locked="0"/>
    </xf>
    <xf numFmtId="0" fontId="90" fillId="0" borderId="0" xfId="36" applyFont="1"/>
    <xf numFmtId="0" fontId="54" fillId="0" borderId="0" xfId="0" applyFont="1"/>
    <xf numFmtId="0" fontId="54" fillId="0" borderId="0" xfId="0" applyFont="1" applyAlignment="1">
      <alignment horizontal="justify" vertical="justify"/>
    </xf>
    <xf numFmtId="0" fontId="74" fillId="0" borderId="10" xfId="0" applyFont="1" applyBorder="1" applyAlignment="1">
      <alignment horizontal="justify" vertical="justify"/>
    </xf>
    <xf numFmtId="0" fontId="48" fillId="0" borderId="10" xfId="0" applyFont="1" applyBorder="1" applyAlignment="1">
      <alignment horizontal="left" vertical="justify" indent="2"/>
    </xf>
    <xf numFmtId="0" fontId="44" fillId="0" borderId="10" xfId="0" applyFont="1" applyBorder="1" applyAlignment="1">
      <alignment horizontal="justify" vertical="justify"/>
    </xf>
    <xf numFmtId="0" fontId="70" fillId="0" borderId="53" xfId="0" applyFont="1" applyBorder="1"/>
    <xf numFmtId="0" fontId="70" fillId="0" borderId="0" xfId="0" applyFont="1"/>
    <xf numFmtId="0" fontId="95" fillId="0" borderId="10" xfId="0" applyFont="1" applyBorder="1" applyAlignment="1">
      <alignment horizontal="justify" vertical="justify"/>
    </xf>
    <xf numFmtId="0" fontId="92" fillId="0" borderId="10" xfId="0" applyFont="1" applyFill="1" applyBorder="1"/>
    <xf numFmtId="0" fontId="95" fillId="0" borderId="10" xfId="0" applyFont="1" applyFill="1" applyBorder="1"/>
    <xf numFmtId="0" fontId="95" fillId="0" borderId="10" xfId="0" applyFont="1" applyFill="1" applyBorder="1" applyAlignment="1">
      <alignment wrapText="1"/>
    </xf>
    <xf numFmtId="0" fontId="92" fillId="0" borderId="10" xfId="0" applyFont="1" applyBorder="1" applyAlignment="1">
      <alignment horizontal="justify" vertical="justify"/>
    </xf>
    <xf numFmtId="0" fontId="91" fillId="0" borderId="29" xfId="0" applyFont="1" applyBorder="1" applyAlignment="1">
      <alignment horizontal="center" vertical="center"/>
    </xf>
    <xf numFmtId="0" fontId="92" fillId="0" borderId="10" xfId="0" applyFont="1" applyFill="1" applyBorder="1" applyAlignment="1">
      <alignment horizontal="left"/>
    </xf>
    <xf numFmtId="0" fontId="91" fillId="0" borderId="10" xfId="0" applyFont="1" applyBorder="1" applyAlignment="1">
      <alignment horizontal="justify" vertical="justify"/>
    </xf>
    <xf numFmtId="4" fontId="92" fillId="0" borderId="10" xfId="0" applyNumberFormat="1" applyFont="1" applyFill="1" applyBorder="1" applyAlignment="1" applyProtection="1">
      <alignment horizontal="left"/>
    </xf>
    <xf numFmtId="0" fontId="92" fillId="0" borderId="10" xfId="0" applyFont="1" applyBorder="1" applyAlignment="1">
      <alignment horizontal="left" vertical="justify" indent="2"/>
    </xf>
    <xf numFmtId="0" fontId="96" fillId="0" borderId="10" xfId="0" applyFont="1" applyFill="1" applyBorder="1"/>
    <xf numFmtId="0" fontId="70" fillId="0" borderId="10" xfId="0" applyFont="1" applyFill="1" applyBorder="1" applyAlignment="1">
      <alignment horizontal="left"/>
    </xf>
    <xf numFmtId="0" fontId="37" fillId="8" borderId="25" xfId="0" applyFont="1" applyFill="1" applyBorder="1" applyAlignment="1">
      <alignment horizontal="center" vertical="center" wrapText="1"/>
    </xf>
    <xf numFmtId="0" fontId="47" fillId="8" borderId="25" xfId="0" applyFont="1" applyFill="1" applyBorder="1" applyAlignment="1">
      <alignment horizontal="center" vertical="center" wrapText="1"/>
    </xf>
    <xf numFmtId="43" fontId="22" fillId="8" borderId="25" xfId="7" applyFont="1" applyFill="1" applyBorder="1" applyAlignment="1">
      <alignment horizontal="center" vertical="center" wrapText="1"/>
    </xf>
    <xf numFmtId="0" fontId="11" fillId="0" borderId="0" xfId="0" applyFont="1" applyAlignment="1">
      <alignment horizontal="center" vertical="justify"/>
    </xf>
    <xf numFmtId="43" fontId="0" fillId="0" borderId="0" xfId="0" applyNumberFormat="1"/>
    <xf numFmtId="43" fontId="97" fillId="0" borderId="0" xfId="0" applyNumberFormat="1" applyFont="1"/>
    <xf numFmtId="0" fontId="93" fillId="0" borderId="51" xfId="0" applyFont="1" applyBorder="1" applyAlignment="1">
      <alignment horizontal="center"/>
    </xf>
    <xf numFmtId="0" fontId="103" fillId="0" borderId="0" xfId="0" applyFont="1"/>
    <xf numFmtId="0" fontId="102" fillId="0" borderId="0" xfId="0" applyFont="1" applyAlignment="1">
      <alignment horizontal="right"/>
    </xf>
    <xf numFmtId="0" fontId="102" fillId="0" borderId="0" xfId="0" applyFont="1"/>
    <xf numFmtId="0" fontId="70" fillId="0" borderId="10" xfId="0" applyFont="1" applyBorder="1"/>
    <xf numFmtId="0" fontId="70" fillId="4" borderId="57" xfId="0" applyFont="1" applyFill="1" applyBorder="1" applyAlignment="1">
      <alignment horizontal="center" vertical="center"/>
    </xf>
    <xf numFmtId="0" fontId="56" fillId="4" borderId="58" xfId="0" applyFont="1" applyFill="1" applyBorder="1" applyAlignment="1">
      <alignment horizontal="center" vertical="center"/>
    </xf>
    <xf numFmtId="0" fontId="102" fillId="0" borderId="0" xfId="0" applyFont="1" applyAlignment="1">
      <alignment horizontal="center" vertical="center"/>
    </xf>
    <xf numFmtId="43" fontId="56" fillId="4" borderId="46" xfId="7" applyFont="1" applyFill="1" applyBorder="1" applyAlignment="1">
      <alignment horizontal="center" vertical="top" wrapText="1"/>
    </xf>
    <xf numFmtId="43" fontId="56" fillId="4" borderId="26" xfId="7" applyFont="1" applyFill="1" applyBorder="1" applyAlignment="1">
      <alignment horizontal="center" vertical="top" wrapText="1"/>
    </xf>
    <xf numFmtId="4" fontId="70" fillId="0" borderId="21" xfId="7" applyNumberFormat="1" applyFont="1" applyBorder="1" applyAlignment="1">
      <alignment horizontal="right"/>
    </xf>
    <xf numFmtId="4" fontId="93" fillId="0" borderId="10" xfId="7" applyNumberFormat="1" applyFont="1" applyBorder="1" applyAlignment="1">
      <alignment horizontal="right"/>
    </xf>
    <xf numFmtId="4" fontId="93" fillId="0" borderId="59" xfId="7" applyNumberFormat="1" applyFont="1" applyBorder="1" applyAlignment="1">
      <alignment horizontal="right"/>
    </xf>
    <xf numFmtId="4" fontId="70" fillId="0" borderId="59" xfId="7" applyNumberFormat="1" applyFont="1" applyBorder="1" applyAlignment="1">
      <alignment horizontal="right"/>
    </xf>
    <xf numFmtId="4" fontId="70" fillId="0" borderId="44" xfId="7" applyNumberFormat="1" applyFont="1" applyBorder="1" applyAlignment="1">
      <alignment horizontal="right"/>
    </xf>
    <xf numFmtId="4" fontId="70" fillId="0" borderId="60" xfId="7" applyNumberFormat="1" applyFont="1" applyBorder="1" applyAlignment="1">
      <alignment horizontal="right"/>
    </xf>
    <xf numFmtId="0" fontId="87" fillId="0" borderId="10" xfId="0" applyFont="1" applyBorder="1"/>
    <xf numFmtId="0" fontId="98" fillId="0" borderId="0" xfId="37"/>
    <xf numFmtId="0" fontId="47" fillId="0" borderId="61" xfId="37" applyFont="1" applyBorder="1"/>
    <xf numFmtId="0" fontId="73" fillId="0" borderId="10" xfId="47" applyFont="1" applyBorder="1" applyAlignment="1" applyProtection="1">
      <alignment wrapText="1"/>
    </xf>
    <xf numFmtId="4" fontId="25" fillId="0" borderId="62" xfId="7" applyNumberFormat="1" applyFont="1" applyBorder="1" applyAlignment="1"/>
    <xf numFmtId="43" fontId="76" fillId="0" borderId="0" xfId="36" applyNumberFormat="1" applyFont="1"/>
    <xf numFmtId="43" fontId="12" fillId="0" borderId="0" xfId="36" applyNumberFormat="1"/>
    <xf numFmtId="0" fontId="57" fillId="0" borderId="0" xfId="39" applyFont="1" applyFill="1" applyBorder="1" applyAlignment="1">
      <alignment vertical="top" wrapText="1"/>
    </xf>
    <xf numFmtId="4" fontId="20" fillId="0" borderId="43" xfId="0" applyNumberFormat="1" applyFont="1" applyFill="1" applyBorder="1" applyAlignment="1" applyProtection="1">
      <alignment vertical="center"/>
      <protection locked="0"/>
    </xf>
    <xf numFmtId="4" fontId="9" fillId="0" borderId="0" xfId="39" applyNumberFormat="1" applyFont="1" applyFill="1"/>
    <xf numFmtId="0" fontId="9" fillId="0" borderId="0" xfId="0" applyFont="1" applyFill="1" applyAlignment="1">
      <alignment horizontal="center"/>
    </xf>
    <xf numFmtId="49" fontId="5" fillId="0" borderId="0" xfId="0" applyNumberFormat="1" applyFont="1" applyFill="1" applyAlignment="1">
      <alignment horizontal="center"/>
    </xf>
    <xf numFmtId="43" fontId="0" fillId="0" borderId="0" xfId="7" applyFont="1" applyAlignment="1"/>
    <xf numFmtId="43" fontId="21" fillId="0" borderId="0" xfId="7" applyFont="1" applyAlignment="1">
      <alignment horizontal="center" vertical="center" wrapText="1"/>
    </xf>
    <xf numFmtId="43" fontId="20" fillId="0" borderId="0" xfId="7" applyFont="1" applyAlignment="1">
      <alignment horizontal="center" vertical="center" wrapText="1"/>
    </xf>
    <xf numFmtId="43" fontId="15" fillId="0" borderId="0" xfId="7" applyFont="1" applyAlignment="1">
      <alignment vertical="center"/>
    </xf>
    <xf numFmtId="43" fontId="5" fillId="0" borderId="0" xfId="7" applyFont="1" applyFill="1"/>
    <xf numFmtId="43" fontId="15" fillId="12" borderId="0" xfId="7" applyFont="1" applyFill="1"/>
    <xf numFmtId="39" fontId="46" fillId="0" borderId="0" xfId="7" applyNumberFormat="1" applyFont="1" applyAlignment="1"/>
    <xf numFmtId="39" fontId="46" fillId="0" borderId="0" xfId="7" applyNumberFormat="1" applyFont="1"/>
    <xf numFmtId="39" fontId="58" fillId="0" borderId="0" xfId="7" applyNumberFormat="1" applyFont="1" applyAlignment="1">
      <alignment horizontal="center" vertical="center" wrapText="1"/>
    </xf>
    <xf numFmtId="39" fontId="57" fillId="0" borderId="0" xfId="7" applyNumberFormat="1" applyFont="1" applyAlignment="1">
      <alignment horizontal="center" vertical="center" wrapText="1"/>
    </xf>
    <xf numFmtId="39" fontId="65" fillId="0" borderId="0" xfId="7" applyNumberFormat="1" applyFont="1"/>
    <xf numFmtId="39" fontId="65" fillId="0" borderId="0" xfId="7" applyNumberFormat="1" applyFont="1" applyAlignment="1">
      <alignment vertical="center"/>
    </xf>
    <xf numFmtId="39" fontId="45" fillId="0" borderId="0" xfId="7" applyNumberFormat="1" applyFont="1"/>
    <xf numFmtId="39" fontId="0" fillId="0" borderId="0" xfId="7" applyNumberFormat="1" applyFont="1"/>
    <xf numFmtId="43" fontId="5" fillId="0" borderId="0" xfId="17" applyFont="1"/>
    <xf numFmtId="49" fontId="21" fillId="0" borderId="0" xfId="40" applyNumberFormat="1" applyFont="1" applyAlignment="1">
      <alignment horizontal="center" vertical="top"/>
    </xf>
    <xf numFmtId="43" fontId="21" fillId="0" borderId="0" xfId="7" applyFont="1" applyAlignment="1">
      <alignment horizontal="center" vertical="top"/>
    </xf>
    <xf numFmtId="43" fontId="20" fillId="0" borderId="0" xfId="7" applyFont="1"/>
    <xf numFmtId="0" fontId="5" fillId="0" borderId="0" xfId="44"/>
    <xf numFmtId="43" fontId="5" fillId="0" borderId="0" xfId="17"/>
    <xf numFmtId="43" fontId="10" fillId="0" borderId="0" xfId="17" applyFont="1" applyAlignment="1">
      <alignment horizontal="centerContinuous"/>
    </xf>
    <xf numFmtId="43" fontId="22" fillId="0" borderId="0" xfId="17" applyNumberFormat="1" applyFont="1" applyAlignment="1">
      <alignment horizontal="centerContinuous"/>
    </xf>
    <xf numFmtId="43" fontId="15" fillId="0" borderId="0" xfId="17" applyFont="1"/>
    <xf numFmtId="43" fontId="15" fillId="0" borderId="0" xfId="17" applyNumberFormat="1" applyFont="1"/>
    <xf numFmtId="43" fontId="5" fillId="0" borderId="0" xfId="17" applyNumberFormat="1" applyFont="1"/>
    <xf numFmtId="43" fontId="5" fillId="2" borderId="17" xfId="17" applyFont="1" applyFill="1" applyBorder="1"/>
    <xf numFmtId="43" fontId="5" fillId="2" borderId="0" xfId="17" applyFont="1" applyFill="1" applyBorder="1"/>
    <xf numFmtId="43" fontId="5" fillId="2" borderId="61" xfId="17" applyFont="1" applyFill="1" applyBorder="1" applyAlignment="1">
      <alignment vertical="center"/>
    </xf>
    <xf numFmtId="0" fontId="5" fillId="0" borderId="0" xfId="44" applyAlignment="1">
      <alignment vertical="center"/>
    </xf>
    <xf numFmtId="43" fontId="2" fillId="4" borderId="63" xfId="17" applyFont="1" applyFill="1" applyBorder="1" applyAlignment="1">
      <alignment vertical="center"/>
    </xf>
    <xf numFmtId="43" fontId="5" fillId="4" borderId="0" xfId="17" applyFont="1" applyFill="1" applyBorder="1" applyAlignment="1">
      <alignment vertical="center"/>
    </xf>
    <xf numFmtId="10" fontId="2" fillId="4" borderId="64" xfId="49" applyNumberFormat="1" applyFont="1" applyFill="1" applyBorder="1" applyAlignment="1">
      <alignment vertical="center"/>
    </xf>
    <xf numFmtId="0" fontId="15" fillId="0" borderId="0" xfId="44" applyFont="1"/>
    <xf numFmtId="49" fontId="18" fillId="0" borderId="65" xfId="17" applyNumberFormat="1" applyFont="1" applyBorder="1"/>
    <xf numFmtId="43" fontId="5" fillId="0" borderId="66" xfId="17" applyFont="1" applyBorder="1"/>
    <xf numFmtId="43" fontId="5" fillId="0" borderId="9" xfId="17" applyFont="1" applyBorder="1"/>
    <xf numFmtId="43" fontId="5" fillId="0" borderId="4" xfId="17" applyNumberFormat="1" applyFont="1" applyBorder="1"/>
    <xf numFmtId="49" fontId="5" fillId="0" borderId="21" xfId="17" applyNumberFormat="1" applyFont="1" applyBorder="1" applyAlignment="1">
      <alignment horizontal="centerContinuous"/>
    </xf>
    <xf numFmtId="43" fontId="5" fillId="0" borderId="22" xfId="17" applyFont="1" applyBorder="1"/>
    <xf numFmtId="0" fontId="5" fillId="0" borderId="9" xfId="44" applyBorder="1"/>
    <xf numFmtId="43" fontId="5" fillId="0" borderId="4" xfId="44" applyNumberFormat="1" applyBorder="1"/>
    <xf numFmtId="43" fontId="5" fillId="6" borderId="12" xfId="17" applyFill="1" applyBorder="1"/>
    <xf numFmtId="0" fontId="5" fillId="6" borderId="67" xfId="44" applyFill="1" applyBorder="1"/>
    <xf numFmtId="176" fontId="5" fillId="0" borderId="9" xfId="17" applyNumberFormat="1" applyFont="1" applyBorder="1" applyAlignment="1">
      <alignment horizontal="center"/>
    </xf>
    <xf numFmtId="1" fontId="5" fillId="0" borderId="9" xfId="17" applyNumberFormat="1" applyFont="1" applyBorder="1" applyAlignment="1">
      <alignment horizontal="center"/>
    </xf>
    <xf numFmtId="43" fontId="5" fillId="0" borderId="63" xfId="17" applyNumberFormat="1" applyBorder="1"/>
    <xf numFmtId="0" fontId="5" fillId="0" borderId="64" xfId="44" applyFont="1" applyBorder="1"/>
    <xf numFmtId="43" fontId="5" fillId="0" borderId="0" xfId="44" applyNumberFormat="1"/>
    <xf numFmtId="171" fontId="5" fillId="0" borderId="0" xfId="44" applyNumberFormat="1"/>
    <xf numFmtId="1" fontId="5" fillId="0" borderId="9" xfId="17" applyNumberFormat="1" applyFont="1" applyBorder="1" applyAlignment="1">
      <alignment horizontal="centerContinuous"/>
    </xf>
    <xf numFmtId="43" fontId="5" fillId="0" borderId="63" xfId="17" applyBorder="1"/>
    <xf numFmtId="0" fontId="5" fillId="0" borderId="64" xfId="44" applyBorder="1"/>
    <xf numFmtId="0" fontId="5" fillId="0" borderId="9" xfId="44" applyBorder="1" applyAlignment="1">
      <alignment horizontal="center"/>
    </xf>
    <xf numFmtId="1" fontId="5" fillId="0" borderId="9" xfId="44" applyNumberFormat="1" applyBorder="1"/>
    <xf numFmtId="10" fontId="29" fillId="0" borderId="63" xfId="49" applyNumberFormat="1" applyFont="1" applyBorder="1"/>
    <xf numFmtId="43" fontId="5" fillId="0" borderId="63" xfId="17" applyNumberFormat="1" applyFont="1" applyBorder="1"/>
    <xf numFmtId="43" fontId="2" fillId="5" borderId="63" xfId="17" applyFont="1" applyFill="1" applyBorder="1"/>
    <xf numFmtId="0" fontId="5" fillId="5" borderId="64" xfId="44" applyFont="1" applyFill="1" applyBorder="1"/>
    <xf numFmtId="43" fontId="5" fillId="6" borderId="13" xfId="17" applyFill="1" applyBorder="1"/>
    <xf numFmtId="0" fontId="5" fillId="6" borderId="68" xfId="44" applyFill="1" applyBorder="1"/>
    <xf numFmtId="49" fontId="5" fillId="0" borderId="69" xfId="17" applyNumberFormat="1" applyFont="1" applyBorder="1" applyAlignment="1">
      <alignment horizontal="centerContinuous"/>
    </xf>
    <xf numFmtId="43" fontId="2" fillId="0" borderId="70" xfId="17" applyFont="1" applyBorder="1"/>
    <xf numFmtId="176" fontId="5" fillId="0" borderId="70" xfId="17" applyNumberFormat="1" applyFont="1" applyBorder="1"/>
    <xf numFmtId="49" fontId="5" fillId="0" borderId="70" xfId="17" applyNumberFormat="1" applyFont="1" applyBorder="1" applyAlignment="1">
      <alignment horizontal="centerContinuous"/>
    </xf>
    <xf numFmtId="39" fontId="5" fillId="0" borderId="71" xfId="17" applyNumberFormat="1" applyFont="1" applyBorder="1"/>
    <xf numFmtId="49" fontId="5" fillId="0" borderId="72" xfId="17" applyNumberFormat="1" applyFont="1" applyBorder="1" applyAlignment="1">
      <alignment horizontal="centerContinuous"/>
    </xf>
    <xf numFmtId="43" fontId="5" fillId="0" borderId="73" xfId="17" applyFont="1" applyBorder="1"/>
    <xf numFmtId="176" fontId="5" fillId="0" borderId="73" xfId="17" applyNumberFormat="1" applyFont="1" applyBorder="1"/>
    <xf numFmtId="49" fontId="5" fillId="0" borderId="73" xfId="17" applyNumberFormat="1" applyFont="1" applyBorder="1" applyAlignment="1">
      <alignment horizontal="centerContinuous"/>
    </xf>
    <xf numFmtId="43" fontId="5" fillId="0" borderId="74" xfId="17" applyNumberFormat="1" applyFont="1" applyBorder="1"/>
    <xf numFmtId="0" fontId="44" fillId="0" borderId="0" xfId="44" applyFont="1" applyBorder="1"/>
    <xf numFmtId="176" fontId="5" fillId="0" borderId="0" xfId="17" applyNumberFormat="1" applyFont="1" applyBorder="1"/>
    <xf numFmtId="49" fontId="5" fillId="0" borderId="0" xfId="17" applyNumberFormat="1" applyFont="1" applyBorder="1" applyAlignment="1">
      <alignment horizontal="centerContinuous"/>
    </xf>
    <xf numFmtId="43" fontId="8" fillId="0" borderId="75" xfId="17" applyNumberFormat="1" applyFont="1" applyBorder="1"/>
    <xf numFmtId="0" fontId="5" fillId="0" borderId="44" xfId="44" applyBorder="1"/>
    <xf numFmtId="0" fontId="5" fillId="0" borderId="6" xfId="44" applyBorder="1"/>
    <xf numFmtId="43" fontId="5" fillId="0" borderId="5" xfId="44" applyNumberFormat="1" applyBorder="1"/>
    <xf numFmtId="0" fontId="5" fillId="0" borderId="0" xfId="44" applyBorder="1"/>
    <xf numFmtId="43" fontId="5" fillId="0" borderId="0" xfId="44" applyNumberFormat="1" applyBorder="1"/>
    <xf numFmtId="0" fontId="5" fillId="0" borderId="0" xfId="24" applyFont="1"/>
    <xf numFmtId="0" fontId="110" fillId="0" borderId="0" xfId="24" applyFont="1" applyAlignment="1">
      <alignment horizontal="right"/>
    </xf>
    <xf numFmtId="0" fontId="114" fillId="0" borderId="0" xfId="24" applyFont="1"/>
    <xf numFmtId="0" fontId="115" fillId="0" borderId="0" xfId="24" applyFont="1" applyAlignment="1">
      <alignment horizontal="center"/>
    </xf>
    <xf numFmtId="43" fontId="22" fillId="13" borderId="76" xfId="17" applyFont="1" applyFill="1" applyBorder="1" applyAlignment="1">
      <alignment horizontal="centerContinuous"/>
    </xf>
    <xf numFmtId="43" fontId="22" fillId="13" borderId="67" xfId="17" applyNumberFormat="1" applyFont="1" applyFill="1" applyBorder="1" applyAlignment="1">
      <alignment horizontal="centerContinuous"/>
    </xf>
    <xf numFmtId="43" fontId="22" fillId="13" borderId="77" xfId="17" applyFont="1" applyFill="1" applyBorder="1" applyAlignment="1">
      <alignment horizontal="centerContinuous"/>
    </xf>
    <xf numFmtId="43" fontId="22" fillId="13" borderId="68" xfId="17" applyNumberFormat="1" applyFont="1" applyFill="1" applyBorder="1" applyAlignment="1">
      <alignment horizontal="centerContinuous"/>
    </xf>
    <xf numFmtId="0" fontId="15" fillId="0" borderId="0" xfId="0" applyFont="1" applyAlignment="1">
      <alignment horizontal="center" vertical="center"/>
    </xf>
    <xf numFmtId="0" fontId="12" fillId="0" borderId="0" xfId="34"/>
    <xf numFmtId="0" fontId="73" fillId="0" borderId="0" xfId="34" applyFont="1"/>
    <xf numFmtId="0" fontId="12" fillId="0" borderId="0" xfId="34" applyProtection="1"/>
    <xf numFmtId="0" fontId="99" fillId="0" borderId="0" xfId="34" applyFont="1" applyProtection="1"/>
    <xf numFmtId="0" fontId="47" fillId="9" borderId="72" xfId="34" applyFont="1" applyFill="1" applyBorder="1" applyAlignment="1" applyProtection="1">
      <alignment horizontal="center"/>
    </xf>
    <xf numFmtId="0" fontId="47" fillId="0" borderId="0" xfId="34" applyFont="1" applyAlignment="1" applyProtection="1">
      <alignment horizontal="center" vertical="justify"/>
    </xf>
    <xf numFmtId="0" fontId="94" fillId="3" borderId="57" xfId="34" applyFont="1" applyFill="1" applyBorder="1" applyAlignment="1" applyProtection="1">
      <alignment horizontal="center" vertical="justify"/>
    </xf>
    <xf numFmtId="0" fontId="47" fillId="3" borderId="57" xfId="34" applyFont="1" applyFill="1" applyBorder="1" applyAlignment="1" applyProtection="1">
      <alignment horizontal="center" vertical="justify"/>
    </xf>
    <xf numFmtId="0" fontId="12" fillId="3" borderId="0" xfId="34" applyFill="1" applyProtection="1"/>
    <xf numFmtId="0" fontId="12" fillId="0" borderId="15" xfId="34" applyBorder="1" applyAlignment="1" applyProtection="1">
      <alignment horizontal="center"/>
      <protection locked="0"/>
    </xf>
    <xf numFmtId="0" fontId="12" fillId="9" borderId="15" xfId="34" applyFill="1" applyBorder="1" applyAlignment="1" applyProtection="1">
      <alignment horizontal="center"/>
      <protection locked="0"/>
    </xf>
    <xf numFmtId="0" fontId="12" fillId="0" borderId="0" xfId="34" applyAlignment="1" applyProtection="1">
      <alignment horizontal="center"/>
      <protection locked="0"/>
    </xf>
    <xf numFmtId="0" fontId="12" fillId="0" borderId="0" xfId="34" applyFill="1" applyProtection="1"/>
    <xf numFmtId="0" fontId="56" fillId="0" borderId="78" xfId="34" applyFont="1" applyBorder="1" applyProtection="1"/>
    <xf numFmtId="0" fontId="56" fillId="0" borderId="26" xfId="34" applyFont="1" applyBorder="1" applyAlignment="1" applyProtection="1">
      <alignment horizontal="center"/>
    </xf>
    <xf numFmtId="0" fontId="56" fillId="9" borderId="79" xfId="34" applyFont="1" applyFill="1" applyBorder="1" applyAlignment="1" applyProtection="1">
      <alignment horizontal="center"/>
    </xf>
    <xf numFmtId="0" fontId="56" fillId="0" borderId="24" xfId="34" applyFont="1" applyBorder="1" applyAlignment="1" applyProtection="1">
      <alignment horizontal="center"/>
    </xf>
    <xf numFmtId="0" fontId="56" fillId="0" borderId="0" xfId="34" applyFont="1" applyAlignment="1" applyProtection="1">
      <alignment horizontal="center"/>
    </xf>
    <xf numFmtId="0" fontId="56" fillId="9" borderId="78" xfId="34" applyFont="1" applyFill="1" applyBorder="1" applyAlignment="1" applyProtection="1">
      <alignment horizontal="center"/>
    </xf>
    <xf numFmtId="0" fontId="47" fillId="0" borderId="57" xfId="34" applyFont="1" applyBorder="1" applyAlignment="1" applyProtection="1">
      <alignment horizontal="left" indent="1"/>
    </xf>
    <xf numFmtId="0" fontId="47" fillId="0" borderId="79" xfId="34" applyFont="1" applyBorder="1" applyProtection="1"/>
    <xf numFmtId="0" fontId="47" fillId="0" borderId="11" xfId="34" applyFont="1" applyBorder="1" applyProtection="1"/>
    <xf numFmtId="0" fontId="47" fillId="0" borderId="0" xfId="34" applyFont="1" applyBorder="1" applyProtection="1"/>
    <xf numFmtId="0" fontId="12" fillId="0" borderId="79" xfId="34" applyBorder="1" applyProtection="1"/>
    <xf numFmtId="0" fontId="12" fillId="0" borderId="0" xfId="34" applyAlignment="1" applyProtection="1">
      <alignment horizontal="left" indent="1"/>
    </xf>
    <xf numFmtId="0" fontId="100" fillId="0" borderId="0" xfId="34" applyFont="1" applyAlignment="1" applyProtection="1"/>
    <xf numFmtId="0" fontId="12" fillId="0" borderId="0" xfId="34" applyFont="1" applyFill="1" applyProtection="1"/>
    <xf numFmtId="0" fontId="12" fillId="0" borderId="0" xfId="34" applyProtection="1">
      <protection locked="0"/>
    </xf>
    <xf numFmtId="49" fontId="73" fillId="0" borderId="0" xfId="34" applyNumberFormat="1" applyFont="1"/>
    <xf numFmtId="0" fontId="118" fillId="0" borderId="0" xfId="0" applyFont="1" applyAlignment="1">
      <alignment horizontal="center"/>
    </xf>
    <xf numFmtId="0" fontId="119" fillId="0" borderId="0" xfId="0" applyFont="1" applyAlignment="1">
      <alignment horizontal="center"/>
    </xf>
    <xf numFmtId="0" fontId="120" fillId="0" borderId="0" xfId="0" applyFont="1" applyAlignment="1">
      <alignment horizontal="center"/>
    </xf>
    <xf numFmtId="0" fontId="117" fillId="0" borderId="0" xfId="0" applyFont="1"/>
    <xf numFmtId="0" fontId="13" fillId="0" borderId="61" xfId="0" applyFont="1" applyBorder="1" applyAlignment="1">
      <alignment horizontal="left"/>
    </xf>
    <xf numFmtId="0" fontId="13" fillId="0" borderId="61" xfId="0" applyFont="1" applyBorder="1"/>
    <xf numFmtId="0" fontId="13" fillId="0" borderId="61" xfId="0" applyFont="1" applyBorder="1" applyAlignment="1">
      <alignment horizontal="right"/>
    </xf>
    <xf numFmtId="0" fontId="13" fillId="0" borderId="0" xfId="0" applyFont="1"/>
    <xf numFmtId="0" fontId="121" fillId="0" borderId="0" xfId="37" applyFont="1"/>
    <xf numFmtId="0" fontId="121" fillId="0" borderId="0" xfId="0" applyFont="1"/>
    <xf numFmtId="0" fontId="121" fillId="0" borderId="0" xfId="0" applyFont="1" applyBorder="1"/>
    <xf numFmtId="0" fontId="121" fillId="0" borderId="0" xfId="0" applyFont="1" applyFill="1" applyBorder="1" applyAlignment="1">
      <alignment horizontal="center"/>
    </xf>
    <xf numFmtId="0" fontId="122" fillId="0" borderId="0" xfId="0" applyFont="1"/>
    <xf numFmtId="4" fontId="123" fillId="0" borderId="1" xfId="39" applyNumberFormat="1" applyFont="1" applyFill="1" applyBorder="1"/>
    <xf numFmtId="43" fontId="123" fillId="0" borderId="1" xfId="7" applyFont="1" applyFill="1" applyBorder="1" applyAlignment="1">
      <alignment horizontal="right"/>
    </xf>
    <xf numFmtId="0" fontId="124" fillId="0" borderId="0" xfId="39" applyFont="1" applyFill="1"/>
    <xf numFmtId="0" fontId="125" fillId="0" borderId="61" xfId="0" applyFont="1" applyBorder="1"/>
    <xf numFmtId="43" fontId="125" fillId="0" borderId="61" xfId="7" applyFont="1" applyBorder="1"/>
    <xf numFmtId="43" fontId="125" fillId="0" borderId="61" xfId="7" applyFont="1" applyBorder="1" applyAlignment="1">
      <alignment horizontal="right"/>
    </xf>
    <xf numFmtId="0" fontId="125" fillId="0" borderId="0" xfId="0" applyFont="1"/>
    <xf numFmtId="0" fontId="126" fillId="0" borderId="61" xfId="0" applyFont="1" applyBorder="1"/>
    <xf numFmtId="0" fontId="126" fillId="0" borderId="0" xfId="0" applyFont="1"/>
    <xf numFmtId="4" fontId="13" fillId="0" borderId="61" xfId="7" applyNumberFormat="1" applyFont="1" applyBorder="1" applyAlignment="1">
      <alignment horizontal="right"/>
    </xf>
    <xf numFmtId="4" fontId="13" fillId="0" borderId="61" xfId="0" applyNumberFormat="1" applyFont="1" applyBorder="1"/>
    <xf numFmtId="4" fontId="125" fillId="0" borderId="61" xfId="7" applyNumberFormat="1" applyFont="1" applyBorder="1"/>
    <xf numFmtId="4" fontId="125" fillId="0" borderId="61" xfId="7" applyNumberFormat="1" applyFont="1" applyBorder="1" applyAlignment="1">
      <alignment horizontal="right"/>
    </xf>
    <xf numFmtId="43" fontId="126" fillId="0" borderId="0" xfId="7" applyFont="1"/>
    <xf numFmtId="43" fontId="126" fillId="0" borderId="61" xfId="0" applyNumberFormat="1" applyFont="1" applyBorder="1"/>
    <xf numFmtId="43" fontId="126" fillId="0" borderId="61" xfId="0" applyNumberFormat="1" applyFont="1" applyBorder="1" applyAlignment="1">
      <alignment horizontal="right"/>
    </xf>
    <xf numFmtId="43" fontId="125" fillId="0" borderId="61" xfId="0" applyNumberFormat="1" applyFont="1" applyBorder="1"/>
    <xf numFmtId="43" fontId="125" fillId="0" borderId="61" xfId="0" applyNumberFormat="1" applyFont="1" applyBorder="1" applyAlignment="1">
      <alignment horizontal="right"/>
    </xf>
    <xf numFmtId="43" fontId="127" fillId="0" borderId="61" xfId="40" applyNumberFormat="1" applyFont="1" applyBorder="1" applyAlignment="1">
      <alignment horizontal="left"/>
    </xf>
    <xf numFmtId="0" fontId="127" fillId="0" borderId="61" xfId="40" applyFont="1" applyBorder="1" applyAlignment="1">
      <alignment horizontal="centerContinuous"/>
    </xf>
    <xf numFmtId="43" fontId="127" fillId="0" borderId="61" xfId="40" applyNumberFormat="1" applyFont="1" applyBorder="1" applyAlignment="1">
      <alignment horizontal="right"/>
    </xf>
    <xf numFmtId="0" fontId="127" fillId="0" borderId="0" xfId="40" applyFont="1"/>
    <xf numFmtId="43" fontId="13" fillId="0" borderId="61" xfId="0" applyNumberFormat="1" applyFont="1" applyBorder="1" applyAlignment="1">
      <alignment horizontal="right"/>
    </xf>
    <xf numFmtId="43" fontId="13" fillId="0" borderId="61" xfId="44" applyNumberFormat="1" applyFont="1" applyBorder="1"/>
    <xf numFmtId="0" fontId="13" fillId="0" borderId="61" xfId="44" applyFont="1" applyBorder="1"/>
    <xf numFmtId="43" fontId="13" fillId="0" borderId="61" xfId="17" applyFont="1" applyBorder="1" applyAlignment="1" applyProtection="1">
      <alignment horizontal="right"/>
    </xf>
    <xf numFmtId="43" fontId="13" fillId="0" borderId="0" xfId="17" applyFont="1"/>
    <xf numFmtId="0" fontId="13" fillId="0" borderId="0" xfId="44" applyFont="1"/>
    <xf numFmtId="0" fontId="128" fillId="0" borderId="0" xfId="0" applyFont="1"/>
    <xf numFmtId="14" fontId="47" fillId="0" borderId="0" xfId="0" applyNumberFormat="1" applyFont="1"/>
    <xf numFmtId="0" fontId="47" fillId="0" borderId="0" xfId="0" applyFont="1" applyAlignment="1">
      <alignment horizontal="right"/>
    </xf>
    <xf numFmtId="0" fontId="47" fillId="0" borderId="61" xfId="0" applyFont="1" applyBorder="1"/>
    <xf numFmtId="0" fontId="47" fillId="9" borderId="63" xfId="0" applyFont="1" applyFill="1" applyBorder="1" applyAlignment="1">
      <alignment horizontal="right"/>
    </xf>
    <xf numFmtId="0" fontId="87" fillId="0" borderId="56" xfId="0" applyFont="1" applyBorder="1" applyAlignment="1">
      <alignment horizontal="left" wrapText="1"/>
    </xf>
    <xf numFmtId="0" fontId="12" fillId="9" borderId="63" xfId="0" applyFont="1" applyFill="1" applyBorder="1" applyAlignment="1">
      <alignment horizontal="right"/>
    </xf>
    <xf numFmtId="0" fontId="12" fillId="0" borderId="56" xfId="0" applyFont="1" applyFill="1" applyBorder="1" applyAlignment="1">
      <alignment horizontal="left" wrapText="1"/>
    </xf>
    <xf numFmtId="0" fontId="47" fillId="3" borderId="63" xfId="0" applyFont="1" applyFill="1" applyBorder="1" applyAlignment="1">
      <alignment horizontal="right"/>
    </xf>
    <xf numFmtId="0" fontId="87" fillId="3" borderId="56" xfId="0" applyFont="1" applyFill="1" applyBorder="1" applyAlignment="1">
      <alignment horizontal="left" wrapText="1"/>
    </xf>
    <xf numFmtId="0" fontId="12" fillId="0" borderId="56" xfId="0" applyFont="1" applyBorder="1" applyAlignment="1">
      <alignment horizontal="left" wrapText="1"/>
    </xf>
    <xf numFmtId="0" fontId="108" fillId="9" borderId="63" xfId="0" applyFont="1" applyFill="1" applyBorder="1" applyAlignment="1">
      <alignment horizontal="right"/>
    </xf>
    <xf numFmtId="0" fontId="47" fillId="3" borderId="63" xfId="0" applyFont="1" applyFill="1" applyBorder="1"/>
    <xf numFmtId="0" fontId="87" fillId="0" borderId="56" xfId="0" applyFont="1" applyFill="1" applyBorder="1" applyAlignment="1">
      <alignment horizontal="left" wrapText="1"/>
    </xf>
    <xf numFmtId="0" fontId="47" fillId="3" borderId="56" xfId="0" applyFont="1" applyFill="1" applyBorder="1" applyAlignment="1">
      <alignment horizontal="left" wrapText="1"/>
    </xf>
    <xf numFmtId="0" fontId="12" fillId="0" borderId="63" xfId="0" applyFont="1" applyFill="1" applyBorder="1" applyAlignment="1">
      <alignment horizontal="right"/>
    </xf>
    <xf numFmtId="4" fontId="25" fillId="14" borderId="80" xfId="7" applyNumberFormat="1" applyFont="1" applyFill="1" applyBorder="1" applyAlignment="1"/>
    <xf numFmtId="4" fontId="25" fillId="14" borderId="62" xfId="7" applyNumberFormat="1" applyFont="1" applyFill="1" applyBorder="1" applyAlignment="1"/>
    <xf numFmtId="4" fontId="25" fillId="14" borderId="81" xfId="7" applyNumberFormat="1" applyFont="1" applyFill="1" applyBorder="1" applyAlignment="1"/>
    <xf numFmtId="4" fontId="37" fillId="14" borderId="82" xfId="7" applyNumberFormat="1" applyFont="1" applyFill="1" applyBorder="1" applyAlignment="1"/>
    <xf numFmtId="4" fontId="25" fillId="14" borderId="83" xfId="7" applyNumberFormat="1" applyFont="1" applyFill="1" applyBorder="1" applyAlignment="1"/>
    <xf numFmtId="4" fontId="25" fillId="14" borderId="83" xfId="7" applyNumberFormat="1" applyFont="1" applyFill="1" applyBorder="1" applyAlignment="1">
      <alignment horizontal="right"/>
    </xf>
    <xf numFmtId="4" fontId="25" fillId="14" borderId="84" xfId="7" applyNumberFormat="1" applyFont="1" applyFill="1" applyBorder="1" applyAlignment="1"/>
    <xf numFmtId="4" fontId="25" fillId="14" borderId="85" xfId="7" applyNumberFormat="1" applyFont="1" applyFill="1" applyBorder="1" applyAlignment="1"/>
    <xf numFmtId="49" fontId="20" fillId="14" borderId="86" xfId="40" applyNumberFormat="1" applyFont="1" applyFill="1" applyBorder="1" applyAlignment="1"/>
    <xf numFmtId="49" fontId="20" fillId="14" borderId="83" xfId="40" applyNumberFormat="1" applyFont="1" applyFill="1" applyBorder="1" applyAlignment="1">
      <alignment horizontal="justify"/>
    </xf>
    <xf numFmtId="49" fontId="20" fillId="14" borderId="56" xfId="40" applyNumberFormat="1" applyFont="1" applyFill="1" applyBorder="1" applyAlignment="1"/>
    <xf numFmtId="49" fontId="20" fillId="14" borderId="62" xfId="40" applyNumberFormat="1" applyFont="1" applyFill="1" applyBorder="1" applyAlignment="1">
      <alignment horizontal="justify"/>
    </xf>
    <xf numFmtId="49" fontId="20" fillId="0" borderId="56" xfId="40" applyNumberFormat="1" applyFont="1" applyBorder="1" applyAlignment="1"/>
    <xf numFmtId="49" fontId="20" fillId="0" borderId="62" xfId="40" applyNumberFormat="1" applyFont="1" applyBorder="1" applyAlignment="1">
      <alignment horizontal="justify"/>
    </xf>
    <xf numFmtId="49" fontId="20" fillId="14" borderId="87" xfId="40" applyNumberFormat="1" applyFont="1" applyFill="1" applyBorder="1" applyAlignment="1"/>
    <xf numFmtId="49" fontId="21" fillId="14" borderId="88" xfId="40" applyNumberFormat="1" applyFont="1" applyFill="1" applyBorder="1" applyAlignment="1">
      <alignment horizontal="justify"/>
    </xf>
    <xf numFmtId="49" fontId="20" fillId="14" borderId="10" xfId="40" applyNumberFormat="1" applyFont="1" applyFill="1" applyBorder="1" applyAlignment="1"/>
    <xf numFmtId="49" fontId="20" fillId="0" borderId="53" xfId="40" applyNumberFormat="1" applyFont="1" applyBorder="1" applyAlignment="1"/>
    <xf numFmtId="49" fontId="20" fillId="0" borderId="5" xfId="40" applyNumberFormat="1" applyFont="1" applyBorder="1" applyAlignment="1">
      <alignment horizontal="justify"/>
    </xf>
    <xf numFmtId="49" fontId="20" fillId="14" borderId="89" xfId="40" applyNumberFormat="1" applyFont="1" applyFill="1" applyBorder="1" applyAlignment="1"/>
    <xf numFmtId="49" fontId="21" fillId="14" borderId="85" xfId="40" applyNumberFormat="1" applyFont="1" applyFill="1" applyBorder="1" applyAlignment="1">
      <alignment horizontal="justify"/>
    </xf>
    <xf numFmtId="49" fontId="21" fillId="2" borderId="90" xfId="40" applyNumberFormat="1" applyFont="1" applyFill="1" applyBorder="1" applyAlignment="1"/>
    <xf numFmtId="49" fontId="21" fillId="2" borderId="5" xfId="40" applyNumberFormat="1" applyFont="1" applyFill="1" applyBorder="1" applyAlignment="1">
      <alignment horizontal="justify"/>
    </xf>
    <xf numFmtId="49" fontId="20" fillId="0" borderId="0" xfId="40" applyNumberFormat="1" applyFont="1" applyBorder="1" applyAlignment="1"/>
    <xf numFmtId="4" fontId="20" fillId="0" borderId="0" xfId="7" applyNumberFormat="1" applyFont="1" applyBorder="1" applyAlignment="1"/>
    <xf numFmtId="49" fontId="20" fillId="0" borderId="0" xfId="40" applyNumberFormat="1" applyFont="1" applyAlignment="1"/>
    <xf numFmtId="4" fontId="20" fillId="0" borderId="0" xfId="7" applyNumberFormat="1" applyFont="1" applyAlignment="1"/>
    <xf numFmtId="49" fontId="21" fillId="4" borderId="12" xfId="40" applyNumberFormat="1" applyFont="1" applyFill="1" applyBorder="1" applyAlignment="1"/>
    <xf numFmtId="49" fontId="21" fillId="4" borderId="18" xfId="40" applyNumberFormat="1" applyFont="1" applyFill="1" applyBorder="1" applyAlignment="1">
      <alignment horizontal="centerContinuous"/>
    </xf>
    <xf numFmtId="49" fontId="21" fillId="4" borderId="13" xfId="40" applyNumberFormat="1" applyFont="1" applyFill="1" applyBorder="1" applyAlignment="1"/>
    <xf numFmtId="49" fontId="21" fillId="4" borderId="35" xfId="40" applyNumberFormat="1" applyFont="1" applyFill="1" applyBorder="1" applyAlignment="1"/>
    <xf numFmtId="49" fontId="20" fillId="14" borderId="91" xfId="40" applyNumberFormat="1" applyFont="1" applyFill="1" applyBorder="1" applyAlignment="1"/>
    <xf numFmtId="49" fontId="20" fillId="14" borderId="80" xfId="40" applyNumberFormat="1" applyFont="1" applyFill="1" applyBorder="1" applyAlignment="1">
      <alignment horizontal="justify"/>
    </xf>
    <xf numFmtId="49" fontId="20" fillId="14" borderId="88" xfId="40" applyNumberFormat="1" applyFont="1" applyFill="1" applyBorder="1" applyAlignment="1"/>
    <xf numFmtId="49" fontId="20" fillId="14" borderId="81" xfId="40" applyNumberFormat="1" applyFont="1" applyFill="1" applyBorder="1" applyAlignment="1">
      <alignment horizontal="justify"/>
    </xf>
    <xf numFmtId="49" fontId="20" fillId="14" borderId="92" xfId="40" applyNumberFormat="1" applyFont="1" applyFill="1" applyBorder="1" applyAlignment="1"/>
    <xf numFmtId="49" fontId="20" fillId="14" borderId="82" xfId="40" applyNumberFormat="1" applyFont="1" applyFill="1" applyBorder="1" applyAlignment="1">
      <alignment horizontal="justify"/>
    </xf>
    <xf numFmtId="43" fontId="126" fillId="0" borderId="61" xfId="0" applyNumberFormat="1" applyFont="1" applyFill="1" applyBorder="1" applyAlignment="1">
      <alignment horizontal="left"/>
    </xf>
    <xf numFmtId="0" fontId="126" fillId="0" borderId="61" xfId="0" applyFont="1" applyFill="1" applyBorder="1" applyAlignment="1">
      <alignment horizontal="center"/>
    </xf>
    <xf numFmtId="49" fontId="126" fillId="0" borderId="61" xfId="0" applyNumberFormat="1" applyFont="1" applyFill="1" applyBorder="1" applyAlignment="1">
      <alignment horizontal="center"/>
    </xf>
    <xf numFmtId="177" fontId="126" fillId="0" borderId="61" xfId="0" applyNumberFormat="1" applyFont="1" applyFill="1" applyBorder="1" applyAlignment="1">
      <alignment horizontal="right"/>
    </xf>
    <xf numFmtId="0" fontId="0" fillId="0" borderId="0" xfId="0" applyFill="1" applyAlignment="1">
      <alignment horizontal="centerContinuous" vertical="center"/>
    </xf>
    <xf numFmtId="4" fontId="0" fillId="0" borderId="0" xfId="0" applyNumberFormat="1" applyFill="1" applyAlignment="1">
      <alignment horizontal="centerContinuous" vertical="center"/>
    </xf>
    <xf numFmtId="49" fontId="0" fillId="0" borderId="0" xfId="0" applyNumberFormat="1" applyFill="1" applyAlignment="1">
      <alignment horizontal="centerContinuous" vertical="center"/>
    </xf>
    <xf numFmtId="49" fontId="0" fillId="0" borderId="0" xfId="0" applyNumberFormat="1" applyFill="1" applyAlignment="1">
      <alignment horizontal="center" vertical="center"/>
    </xf>
    <xf numFmtId="212" fontId="5" fillId="0" borderId="0" xfId="0" applyNumberFormat="1" applyFont="1" applyAlignment="1">
      <alignment horizontal="right"/>
    </xf>
    <xf numFmtId="212" fontId="58" fillId="0" borderId="0" xfId="7" applyNumberFormat="1" applyFont="1"/>
    <xf numFmtId="212" fontId="20" fillId="0" borderId="0" xfId="7" applyNumberFormat="1" applyFont="1"/>
    <xf numFmtId="4" fontId="5" fillId="0" borderId="10" xfId="0" applyNumberFormat="1" applyFont="1" applyBorder="1" applyAlignment="1">
      <alignment horizontal="justify"/>
    </xf>
    <xf numFmtId="3" fontId="5" fillId="0" borderId="10" xfId="0" applyNumberFormat="1" applyFont="1" applyBorder="1" applyAlignment="1">
      <alignment horizontal="justify"/>
    </xf>
    <xf numFmtId="3" fontId="17" fillId="0" borderId="10" xfId="0" applyNumberFormat="1" applyFont="1" applyBorder="1" applyAlignment="1">
      <alignment horizontal="center" vertical="top"/>
    </xf>
    <xf numFmtId="4" fontId="17" fillId="0" borderId="10" xfId="0" applyNumberFormat="1" applyFont="1" applyBorder="1" applyAlignment="1">
      <alignment horizontal="center"/>
    </xf>
    <xf numFmtId="3" fontId="17" fillId="0" borderId="10" xfId="0" applyNumberFormat="1" applyFont="1" applyBorder="1" applyAlignment="1">
      <alignment horizontal="center"/>
    </xf>
    <xf numFmtId="39" fontId="5" fillId="0" borderId="10" xfId="0" applyNumberFormat="1" applyFont="1" applyBorder="1" applyAlignment="1">
      <alignment horizontal="justify"/>
    </xf>
    <xf numFmtId="212" fontId="8" fillId="15" borderId="0" xfId="39" applyNumberFormat="1" applyFont="1" applyFill="1"/>
    <xf numFmtId="212" fontId="5" fillId="15" borderId="0" xfId="39" applyNumberFormat="1" applyFont="1" applyFill="1" applyAlignment="1">
      <alignment vertical="center"/>
    </xf>
    <xf numFmtId="212" fontId="20" fillId="15" borderId="0" xfId="39" applyNumberFormat="1" applyFont="1" applyFill="1"/>
    <xf numFmtId="0" fontId="129" fillId="16" borderId="0" xfId="0" applyFont="1" applyFill="1" applyAlignment="1">
      <alignment horizontal="center"/>
    </xf>
    <xf numFmtId="0" fontId="20" fillId="15" borderId="10" xfId="0" applyFont="1" applyFill="1" applyBorder="1" applyAlignment="1">
      <alignment vertical="center" wrapText="1"/>
    </xf>
    <xf numFmtId="43" fontId="123" fillId="0" borderId="1" xfId="7" applyNumberFormat="1" applyFont="1" applyFill="1" applyBorder="1" applyAlignment="1">
      <alignment horizontal="right"/>
    </xf>
    <xf numFmtId="43" fontId="20" fillId="0" borderId="0" xfId="7" applyNumberFormat="1" applyFont="1" applyFill="1"/>
    <xf numFmtId="43" fontId="21" fillId="6" borderId="26" xfId="7" applyNumberFormat="1" applyFont="1" applyFill="1" applyBorder="1" applyAlignment="1">
      <alignment horizontal="centerContinuous" vertical="center"/>
    </xf>
    <xf numFmtId="43" fontId="50" fillId="0" borderId="0" xfId="7" applyNumberFormat="1" applyFont="1" applyFill="1" applyBorder="1" applyAlignment="1">
      <alignment vertical="top" wrapText="1"/>
    </xf>
    <xf numFmtId="43" fontId="52" fillId="0" borderId="0" xfId="7" applyNumberFormat="1" applyFont="1" applyFill="1"/>
    <xf numFmtId="43" fontId="21" fillId="0" borderId="0" xfId="7" applyNumberFormat="1" applyFont="1" applyFill="1"/>
    <xf numFmtId="43" fontId="51" fillId="0" borderId="0" xfId="7" applyNumberFormat="1" applyFont="1" applyFill="1" applyAlignment="1">
      <alignment horizontal="right"/>
    </xf>
    <xf numFmtId="43" fontId="51" fillId="0" borderId="0" xfId="7" applyNumberFormat="1" applyFont="1" applyFill="1"/>
    <xf numFmtId="43" fontId="21" fillId="0" borderId="0" xfId="39" applyNumberFormat="1" applyFont="1" applyFill="1"/>
    <xf numFmtId="43" fontId="2" fillId="0" borderId="49" xfId="7" applyNumberFormat="1" applyFont="1" applyFill="1" applyBorder="1" applyAlignment="1">
      <alignment horizontal="right" vertical="center"/>
    </xf>
    <xf numFmtId="43" fontId="20" fillId="0" borderId="0" xfId="39" applyNumberFormat="1" applyFont="1" applyFill="1"/>
    <xf numFmtId="43" fontId="9" fillId="0" borderId="0" xfId="39" applyNumberFormat="1" applyFont="1" applyFill="1"/>
    <xf numFmtId="212" fontId="130" fillId="0" borderId="0" xfId="7" applyNumberFormat="1" applyFont="1"/>
    <xf numFmtId="0" fontId="20" fillId="17" borderId="10" xfId="0" applyFont="1" applyFill="1" applyBorder="1" applyAlignment="1">
      <alignment horizontal="left" readingOrder="1"/>
    </xf>
    <xf numFmtId="0" fontId="73" fillId="17" borderId="10" xfId="47" applyFont="1" applyFill="1" applyBorder="1" applyAlignment="1" applyProtection="1">
      <alignment wrapText="1"/>
    </xf>
    <xf numFmtId="0" fontId="93" fillId="0" borderId="10" xfId="0" applyFont="1" applyFill="1" applyBorder="1"/>
    <xf numFmtId="0" fontId="93" fillId="0" borderId="10" xfId="0" applyFont="1" applyBorder="1" applyAlignment="1">
      <alignment horizontal="justify" vertical="justify"/>
    </xf>
    <xf numFmtId="10" fontId="47" fillId="0" borderId="10" xfId="48" applyNumberFormat="1" applyFont="1" applyBorder="1"/>
    <xf numFmtId="9" fontId="47" fillId="0" borderId="10" xfId="48" applyFont="1" applyBorder="1"/>
    <xf numFmtId="10" fontId="56" fillId="0" borderId="21" xfId="48" applyNumberFormat="1" applyFont="1" applyBorder="1" applyAlignment="1">
      <alignment horizontal="right"/>
    </xf>
    <xf numFmtId="43" fontId="173" fillId="0" borderId="0" xfId="7" applyFont="1" applyFill="1"/>
    <xf numFmtId="212" fontId="173" fillId="0" borderId="0" xfId="0" applyNumberFormat="1" applyFont="1" applyFill="1" applyAlignment="1">
      <alignment horizontal="right"/>
    </xf>
    <xf numFmtId="212" fontId="174" fillId="0" borderId="0" xfId="0" applyNumberFormat="1" applyFont="1"/>
    <xf numFmtId="0" fontId="173" fillId="0" borderId="0" xfId="0" applyFont="1"/>
    <xf numFmtId="4" fontId="86" fillId="0" borderId="10" xfId="7" applyNumberFormat="1" applyFont="1" applyFill="1" applyBorder="1"/>
    <xf numFmtId="0" fontId="73" fillId="0" borderId="10" xfId="47" applyFont="1" applyFill="1" applyBorder="1" applyAlignment="1" applyProtection="1">
      <alignment wrapText="1"/>
    </xf>
    <xf numFmtId="4" fontId="48" fillId="0" borderId="10" xfId="7" applyNumberFormat="1" applyFont="1" applyFill="1" applyBorder="1"/>
    <xf numFmtId="4" fontId="48" fillId="0" borderId="53" xfId="7" applyNumberFormat="1" applyFont="1" applyBorder="1"/>
    <xf numFmtId="0" fontId="20" fillId="0" borderId="93" xfId="0" applyFont="1" applyFill="1" applyBorder="1" applyAlignment="1" applyProtection="1">
      <alignment horizontal="center" vertical="center"/>
      <protection locked="0"/>
    </xf>
    <xf numFmtId="4" fontId="20" fillId="0" borderId="94" xfId="0" applyNumberFormat="1" applyFont="1" applyFill="1" applyBorder="1" applyAlignment="1" applyProtection="1">
      <alignment vertical="center"/>
      <protection locked="0"/>
    </xf>
    <xf numFmtId="4" fontId="20" fillId="0" borderId="87" xfId="0" applyNumberFormat="1" applyFont="1" applyFill="1" applyBorder="1" applyAlignment="1" applyProtection="1">
      <alignment vertical="center"/>
      <protection locked="0"/>
    </xf>
    <xf numFmtId="4" fontId="21" fillId="0" borderId="87" xfId="0" applyNumberFormat="1" applyFont="1" applyFill="1" applyBorder="1" applyAlignment="1" applyProtection="1">
      <alignment vertical="center"/>
      <protection locked="0"/>
    </xf>
    <xf numFmtId="4" fontId="21" fillId="0" borderId="25" xfId="0" applyNumberFormat="1" applyFont="1" applyFill="1" applyBorder="1" applyAlignment="1" applyProtection="1">
      <alignment vertical="center"/>
    </xf>
    <xf numFmtId="43" fontId="2" fillId="4" borderId="57" xfId="0" applyNumberFormat="1" applyFont="1" applyFill="1" applyBorder="1" applyAlignment="1" applyProtection="1">
      <alignment vertical="center"/>
    </xf>
    <xf numFmtId="4" fontId="21" fillId="4" borderId="25" xfId="0" applyNumberFormat="1" applyFont="1" applyFill="1" applyBorder="1" applyAlignment="1" applyProtection="1">
      <alignment vertical="center"/>
    </xf>
    <xf numFmtId="4" fontId="21" fillId="4" borderId="46" xfId="0" applyNumberFormat="1" applyFont="1" applyFill="1" applyBorder="1" applyAlignment="1" applyProtection="1">
      <alignment vertical="center"/>
    </xf>
    <xf numFmtId="4" fontId="21" fillId="4" borderId="78" xfId="0" applyNumberFormat="1" applyFont="1" applyFill="1" applyBorder="1" applyAlignment="1" applyProtection="1">
      <alignment vertical="center"/>
    </xf>
    <xf numFmtId="0" fontId="47" fillId="0" borderId="0" xfId="0" applyFont="1" applyFill="1" applyBorder="1" applyAlignment="1" applyProtection="1">
      <alignment vertical="center"/>
    </xf>
    <xf numFmtId="0" fontId="22" fillId="0" borderId="57" xfId="0" applyFont="1" applyFill="1" applyBorder="1" applyAlignment="1" applyProtection="1">
      <alignment vertical="center"/>
    </xf>
    <xf numFmtId="4" fontId="22" fillId="0" borderId="58" xfId="0" applyNumberFormat="1" applyFont="1" applyFill="1" applyBorder="1" applyAlignment="1" applyProtection="1">
      <alignment vertical="center"/>
    </xf>
    <xf numFmtId="4" fontId="22" fillId="0" borderId="25" xfId="0" applyNumberFormat="1" applyFont="1" applyFill="1" applyBorder="1" applyAlignment="1" applyProtection="1">
      <alignment vertical="center"/>
    </xf>
    <xf numFmtId="4" fontId="22" fillId="0" borderId="46" xfId="0" applyNumberFormat="1" applyFont="1" applyFill="1" applyBorder="1" applyAlignment="1" applyProtection="1">
      <alignment vertical="center"/>
    </xf>
    <xf numFmtId="4" fontId="22" fillId="0" borderId="78" xfId="0" applyNumberFormat="1" applyFont="1" applyFill="1" applyBorder="1" applyAlignment="1" applyProtection="1">
      <alignment vertical="center"/>
    </xf>
    <xf numFmtId="43" fontId="175" fillId="0" borderId="0" xfId="36" applyNumberFormat="1" applyFont="1"/>
    <xf numFmtId="43" fontId="173" fillId="0" borderId="0" xfId="7" applyFont="1"/>
    <xf numFmtId="43" fontId="0" fillId="0" borderId="10" xfId="7" applyFont="1" applyFill="1" applyBorder="1"/>
    <xf numFmtId="43" fontId="131" fillId="0" borderId="10" xfId="7" applyFont="1" applyFill="1" applyBorder="1"/>
    <xf numFmtId="0" fontId="5" fillId="0" borderId="0" xfId="40" applyFont="1" applyAlignment="1">
      <alignment horizontal="center" vertical="top"/>
    </xf>
    <xf numFmtId="0" fontId="15" fillId="0" borderId="0" xfId="0" applyFont="1" applyAlignment="1">
      <alignment horizontal="left" vertical="justify" indent="12"/>
    </xf>
    <xf numFmtId="9" fontId="5" fillId="0" borderId="0" xfId="0" applyNumberFormat="1" applyFont="1" applyAlignment="1">
      <alignment horizontal="center"/>
    </xf>
    <xf numFmtId="10" fontId="5" fillId="0" borderId="0" xfId="48" applyNumberFormat="1" applyFont="1"/>
    <xf numFmtId="0" fontId="132" fillId="0" borderId="0" xfId="31" applyFont="1"/>
    <xf numFmtId="0" fontId="5" fillId="0" borderId="0" xfId="38" applyFont="1" applyAlignment="1">
      <alignment horizontal="justify" vertical="justify"/>
    </xf>
    <xf numFmtId="43" fontId="13" fillId="0" borderId="0" xfId="38" applyNumberFormat="1" applyFont="1" applyBorder="1" applyAlignment="1">
      <alignment horizontal="center"/>
    </xf>
    <xf numFmtId="0" fontId="5" fillId="0" borderId="0" xfId="38" applyFont="1"/>
    <xf numFmtId="2" fontId="10" fillId="0" borderId="0" xfId="38" applyNumberFormat="1" applyFont="1" applyBorder="1" applyAlignment="1">
      <alignment horizontal="center"/>
    </xf>
    <xf numFmtId="0" fontId="18" fillId="0" borderId="0" xfId="38" applyFont="1" applyAlignment="1">
      <alignment horizontal="centerContinuous"/>
    </xf>
    <xf numFmtId="0" fontId="10" fillId="0" borderId="0" xfId="38" applyFont="1" applyAlignment="1">
      <alignment horizontal="centerContinuous"/>
    </xf>
    <xf numFmtId="0" fontId="10" fillId="0" borderId="0" xfId="38" applyFont="1" applyAlignment="1"/>
    <xf numFmtId="0" fontId="10" fillId="0" borderId="0" xfId="38" applyFont="1"/>
    <xf numFmtId="175" fontId="5" fillId="0" borderId="0" xfId="38" applyNumberFormat="1" applyFont="1" applyAlignment="1" applyProtection="1">
      <alignment horizontal="justify" vertical="justify"/>
    </xf>
    <xf numFmtId="0" fontId="5" fillId="0" borderId="0" xfId="38" applyFont="1" applyAlignment="1">
      <alignment horizontal="centerContinuous"/>
    </xf>
    <xf numFmtId="39" fontId="5" fillId="0" borderId="0" xfId="38" applyNumberFormat="1" applyFont="1" applyAlignment="1" applyProtection="1">
      <alignment horizontal="centerContinuous"/>
    </xf>
    <xf numFmtId="175" fontId="5" fillId="2" borderId="12" xfId="38" applyNumberFormat="1" applyFont="1" applyFill="1" applyBorder="1" applyAlignment="1" applyProtection="1">
      <alignment horizontal="justify" vertical="justify"/>
    </xf>
    <xf numFmtId="39" fontId="2" fillId="2" borderId="29" xfId="38" applyNumberFormat="1" applyFont="1" applyFill="1" applyBorder="1" applyAlignment="1" applyProtection="1">
      <alignment horizontal="center"/>
    </xf>
    <xf numFmtId="39" fontId="2" fillId="2" borderId="67" xfId="38" applyNumberFormat="1" applyFont="1" applyFill="1" applyBorder="1" applyAlignment="1" applyProtection="1">
      <alignment horizontal="center"/>
    </xf>
    <xf numFmtId="0" fontId="5" fillId="10" borderId="0" xfId="38" applyFont="1" applyFill="1"/>
    <xf numFmtId="0" fontId="2" fillId="2" borderId="13" xfId="38" applyFont="1" applyFill="1" applyBorder="1" applyAlignment="1">
      <alignment horizontal="center" vertical="justify"/>
    </xf>
    <xf numFmtId="39" fontId="2" fillId="2" borderId="30" xfId="38" applyNumberFormat="1" applyFont="1" applyFill="1" applyBorder="1" applyAlignment="1" applyProtection="1">
      <alignment horizontal="center"/>
    </xf>
    <xf numFmtId="39" fontId="2" fillId="2" borderId="68" xfId="38" applyNumberFormat="1" applyFont="1" applyFill="1" applyBorder="1" applyAlignment="1" applyProtection="1">
      <alignment horizontal="center"/>
    </xf>
    <xf numFmtId="175" fontId="5" fillId="0" borderId="29" xfId="38" applyNumberFormat="1" applyFont="1" applyBorder="1" applyAlignment="1" applyProtection="1">
      <alignment horizontal="justify" vertical="justify"/>
    </xf>
    <xf numFmtId="39" fontId="5" fillId="0" borderId="29" xfId="38" applyNumberFormat="1" applyFont="1" applyBorder="1" applyAlignment="1" applyProtection="1">
      <alignment horizontal="center"/>
    </xf>
    <xf numFmtId="175" fontId="2" fillId="0" borderId="10" xfId="38" applyNumberFormat="1" applyFont="1" applyBorder="1" applyAlignment="1" applyProtection="1">
      <alignment horizontal="justify" vertical="justify"/>
    </xf>
    <xf numFmtId="39" fontId="5" fillId="0" borderId="10" xfId="38" applyNumberFormat="1" applyFont="1" applyBorder="1" applyAlignment="1" applyProtection="1">
      <alignment horizontal="center"/>
    </xf>
    <xf numFmtId="175" fontId="5" fillId="0" borderId="10" xfId="38" applyNumberFormat="1" applyFont="1" applyBorder="1" applyAlignment="1" applyProtection="1">
      <alignment horizontal="left" indent="2"/>
    </xf>
    <xf numFmtId="39" fontId="20" fillId="0" borderId="10" xfId="38" applyNumberFormat="1" applyFont="1" applyBorder="1" applyAlignment="1" applyProtection="1">
      <alignment horizontal="right"/>
    </xf>
    <xf numFmtId="175" fontId="5" fillId="0" borderId="10" xfId="38" applyNumberFormat="1" applyFont="1" applyBorder="1" applyAlignment="1" applyProtection="1">
      <alignment horizontal="right"/>
    </xf>
    <xf numFmtId="39" fontId="5" fillId="0" borderId="10" xfId="38" applyNumberFormat="1" applyFont="1" applyBorder="1" applyAlignment="1" applyProtection="1">
      <alignment horizontal="right"/>
    </xf>
    <xf numFmtId="37" fontId="5" fillId="0" borderId="10" xfId="38" applyNumberFormat="1" applyFont="1" applyBorder="1" applyAlignment="1" applyProtection="1">
      <alignment horizontal="right"/>
    </xf>
    <xf numFmtId="0" fontId="5" fillId="0" borderId="89" xfId="38" applyFont="1" applyBorder="1" applyAlignment="1">
      <alignment horizontal="right"/>
    </xf>
    <xf numFmtId="4" fontId="5" fillId="0" borderId="89" xfId="38" applyNumberFormat="1" applyFont="1" applyBorder="1" applyAlignment="1">
      <alignment horizontal="right"/>
    </xf>
    <xf numFmtId="175" fontId="2" fillId="0" borderId="10" xfId="38" applyNumberFormat="1" applyFont="1" applyBorder="1" applyAlignment="1" applyProtection="1">
      <alignment horizontal="justify"/>
    </xf>
    <xf numFmtId="39" fontId="2" fillId="0" borderId="10" xfId="38" applyNumberFormat="1" applyFont="1" applyBorder="1" applyAlignment="1" applyProtection="1">
      <alignment horizontal="right"/>
    </xf>
    <xf numFmtId="0" fontId="5" fillId="0" borderId="10" xfId="38" applyFont="1" applyBorder="1" applyAlignment="1">
      <alignment horizontal="justify" vertical="justify"/>
    </xf>
    <xf numFmtId="175" fontId="5" fillId="0" borderId="10" xfId="38" applyNumberFormat="1" applyFont="1" applyBorder="1" applyAlignment="1" applyProtection="1">
      <alignment horizontal="center"/>
    </xf>
    <xf numFmtId="39" fontId="5" fillId="0" borderId="0" xfId="38" applyNumberFormat="1" applyFont="1"/>
    <xf numFmtId="39" fontId="2" fillId="0" borderId="10" xfId="38" applyNumberFormat="1" applyFont="1" applyBorder="1" applyAlignment="1" applyProtection="1">
      <alignment horizontal="center"/>
    </xf>
    <xf numFmtId="0" fontId="5" fillId="0" borderId="0" xfId="38" applyFont="1" applyAlignment="1">
      <alignment horizontal="right" vertical="top"/>
    </xf>
    <xf numFmtId="39" fontId="5" fillId="0" borderId="89" xfId="38" applyNumberFormat="1" applyFont="1" applyBorder="1" applyAlignment="1" applyProtection="1">
      <alignment horizontal="right"/>
    </xf>
    <xf numFmtId="39" fontId="2" fillId="0" borderId="10" xfId="38" applyNumberFormat="1" applyFont="1" applyBorder="1" applyAlignment="1" applyProtection="1">
      <alignment horizontal="justify"/>
    </xf>
    <xf numFmtId="0" fontId="2" fillId="0" borderId="0" xfId="38" applyFont="1" applyAlignment="1"/>
    <xf numFmtId="175" fontId="21" fillId="0" borderId="10" xfId="38" applyNumberFormat="1" applyFont="1" applyBorder="1" applyAlignment="1" applyProtection="1">
      <alignment horizontal="justify" vertical="justify"/>
    </xf>
    <xf numFmtId="39" fontId="5" fillId="0" borderId="21" xfId="38" applyNumberFormat="1" applyFont="1" applyBorder="1" applyAlignment="1" applyProtection="1">
      <alignment horizontal="center"/>
    </xf>
    <xf numFmtId="0" fontId="5" fillId="0" borderId="30" xfId="38" applyFont="1" applyBorder="1" applyAlignment="1">
      <alignment horizontal="justify" vertical="justify"/>
    </xf>
    <xf numFmtId="39" fontId="5" fillId="0" borderId="30" xfId="38" applyNumberFormat="1" applyFont="1" applyBorder="1" applyAlignment="1" applyProtection="1">
      <alignment horizontal="center"/>
    </xf>
    <xf numFmtId="0" fontId="2" fillId="0" borderId="57" xfId="38" applyFont="1" applyBorder="1" applyAlignment="1">
      <alignment horizontal="left" vertical="center" indent="3"/>
    </xf>
    <xf numFmtId="4" fontId="2" fillId="0" borderId="11" xfId="38" applyNumberFormat="1" applyFont="1" applyBorder="1" applyAlignment="1">
      <alignment horizontal="right" vertical="center"/>
    </xf>
    <xf numFmtId="4" fontId="2" fillId="2" borderId="11" xfId="38" applyNumberFormat="1" applyFont="1" applyFill="1" applyBorder="1" applyAlignment="1">
      <alignment horizontal="right" vertical="center"/>
    </xf>
    <xf numFmtId="0" fontId="2" fillId="0" borderId="0" xfId="38" applyFont="1" applyAlignment="1">
      <alignment vertical="center"/>
    </xf>
    <xf numFmtId="0" fontId="10" fillId="12" borderId="0" xfId="44" applyFont="1" applyFill="1"/>
    <xf numFmtId="0" fontId="2" fillId="12" borderId="0" xfId="44" applyFont="1" applyFill="1"/>
    <xf numFmtId="0" fontId="12" fillId="0" borderId="0" xfId="46"/>
    <xf numFmtId="49" fontId="10" fillId="0" borderId="0" xfId="41" applyNumberFormat="1" applyFont="1" applyAlignment="1">
      <alignment horizontal="center" vertical="top"/>
    </xf>
    <xf numFmtId="4" fontId="12" fillId="0" borderId="0" xfId="46" applyNumberFormat="1"/>
    <xf numFmtId="0" fontId="115" fillId="0" borderId="0" xfId="32" applyFont="1" applyAlignment="1">
      <alignment horizontal="center"/>
    </xf>
    <xf numFmtId="0" fontId="115" fillId="0" borderId="0" xfId="32" applyFont="1"/>
    <xf numFmtId="0" fontId="12" fillId="0" borderId="0" xfId="32"/>
    <xf numFmtId="0" fontId="115" fillId="0" borderId="0" xfId="38" applyFont="1"/>
    <xf numFmtId="0" fontId="115" fillId="0" borderId="0" xfId="38" applyFont="1" applyAlignment="1">
      <alignment horizontal="center"/>
    </xf>
    <xf numFmtId="4" fontId="115" fillId="0" borderId="0" xfId="38" applyNumberFormat="1" applyFont="1"/>
    <xf numFmtId="0" fontId="115" fillId="0" borderId="0" xfId="38" applyFont="1" applyBorder="1"/>
    <xf numFmtId="0" fontId="5" fillId="0" borderId="0" xfId="0" applyFont="1" applyAlignment="1">
      <alignment vertical="center" wrapText="1"/>
    </xf>
    <xf numFmtId="4" fontId="176" fillId="0" borderId="0" xfId="0" applyNumberFormat="1" applyFont="1"/>
    <xf numFmtId="0" fontId="177" fillId="0" borderId="0" xfId="0" applyFont="1" applyAlignment="1">
      <alignment horizontal="center"/>
    </xf>
    <xf numFmtId="43" fontId="5" fillId="2" borderId="12" xfId="17" applyFont="1" applyFill="1" applyBorder="1"/>
    <xf numFmtId="43" fontId="5" fillId="2" borderId="67" xfId="17" applyNumberFormat="1" applyFont="1" applyFill="1" applyBorder="1"/>
    <xf numFmtId="43" fontId="5" fillId="2" borderId="63" xfId="17" applyFont="1" applyFill="1" applyBorder="1"/>
    <xf numFmtId="43" fontId="5" fillId="2" borderId="64" xfId="17" applyNumberFormat="1" applyFont="1" applyFill="1" applyBorder="1"/>
    <xf numFmtId="43" fontId="5" fillId="2" borderId="13" xfId="17" applyFont="1" applyFill="1" applyBorder="1" applyAlignment="1">
      <alignment vertical="center"/>
    </xf>
    <xf numFmtId="10" fontId="5" fillId="2" borderId="68" xfId="49" applyNumberFormat="1" applyFont="1" applyFill="1" applyBorder="1" applyAlignment="1">
      <alignment vertical="center"/>
    </xf>
    <xf numFmtId="0" fontId="132" fillId="0" borderId="0" xfId="0" applyFont="1"/>
    <xf numFmtId="43" fontId="178" fillId="0" borderId="0" xfId="7" applyFont="1"/>
    <xf numFmtId="0" fontId="20" fillId="12" borderId="10" xfId="0" applyFont="1" applyFill="1" applyBorder="1" applyAlignment="1">
      <alignment vertical="center" wrapText="1"/>
    </xf>
    <xf numFmtId="43" fontId="15" fillId="18" borderId="0" xfId="7" applyFont="1" applyFill="1"/>
    <xf numFmtId="4" fontId="15" fillId="18" borderId="0" xfId="0" applyNumberFormat="1" applyFont="1" applyFill="1"/>
    <xf numFmtId="0" fontId="78" fillId="19" borderId="0" xfId="0" applyFont="1" applyFill="1"/>
    <xf numFmtId="10" fontId="70" fillId="0" borderId="59" xfId="48" applyNumberFormat="1" applyFont="1" applyBorder="1" applyAlignment="1">
      <alignment horizontal="right"/>
    </xf>
    <xf numFmtId="43" fontId="55" fillId="2" borderId="25" xfId="7" applyFont="1" applyFill="1" applyBorder="1" applyAlignment="1">
      <alignment horizontal="right" vertical="center"/>
    </xf>
    <xf numFmtId="43" fontId="55" fillId="2" borderId="26" xfId="48" applyNumberFormat="1" applyFont="1" applyFill="1" applyBorder="1" applyAlignment="1">
      <alignment horizontal="right" vertical="center"/>
    </xf>
    <xf numFmtId="0" fontId="176" fillId="0" borderId="0" xfId="0" applyFont="1"/>
    <xf numFmtId="212" fontId="176" fillId="0" borderId="0" xfId="0" applyNumberFormat="1" applyFont="1"/>
    <xf numFmtId="0" fontId="133" fillId="0" borderId="0" xfId="0" applyFont="1"/>
    <xf numFmtId="0" fontId="5" fillId="0" borderId="6" xfId="0" applyFont="1" applyBorder="1"/>
    <xf numFmtId="4" fontId="179" fillId="0" borderId="29" xfId="0" applyNumberFormat="1" applyFont="1" applyBorder="1"/>
    <xf numFmtId="4" fontId="180" fillId="0" borderId="10" xfId="0" applyNumberFormat="1" applyFont="1" applyBorder="1"/>
    <xf numFmtId="4" fontId="179" fillId="0" borderId="10" xfId="0" applyNumberFormat="1" applyFont="1" applyBorder="1"/>
    <xf numFmtId="4" fontId="181" fillId="0" borderId="10" xfId="0" applyNumberFormat="1" applyFont="1" applyBorder="1"/>
    <xf numFmtId="4" fontId="20" fillId="0" borderId="0" xfId="7" applyNumberFormat="1" applyFont="1" applyBorder="1" applyAlignment="1">
      <alignment horizontal="center"/>
    </xf>
    <xf numFmtId="0" fontId="12" fillId="0" borderId="0" xfId="32" applyAlignment="1">
      <alignment horizontal="centerContinuous" vertical="center"/>
    </xf>
    <xf numFmtId="0" fontId="21" fillId="0" borderId="0" xfId="0" applyFont="1" applyAlignment="1">
      <alignment horizontal="left"/>
    </xf>
    <xf numFmtId="0" fontId="15" fillId="0" borderId="0" xfId="40" applyFont="1" applyAlignment="1"/>
    <xf numFmtId="0" fontId="5" fillId="0" borderId="0" xfId="40" applyFont="1" applyAlignment="1"/>
    <xf numFmtId="43" fontId="20" fillId="0" borderId="0" xfId="7" applyFont="1" applyAlignment="1"/>
    <xf numFmtId="40" fontId="173" fillId="0" borderId="0" xfId="0" applyNumberFormat="1" applyFont="1"/>
    <xf numFmtId="10" fontId="20" fillId="0" borderId="0" xfId="0" applyNumberFormat="1" applyFont="1"/>
    <xf numFmtId="0" fontId="103" fillId="20" borderId="0" xfId="0" applyFont="1" applyFill="1" applyAlignment="1">
      <alignment horizontal="right"/>
    </xf>
    <xf numFmtId="10" fontId="5" fillId="20" borderId="0" xfId="48" applyNumberFormat="1" applyFont="1" applyFill="1"/>
    <xf numFmtId="0" fontId="20" fillId="20" borderId="0" xfId="0" applyFont="1" applyFill="1"/>
    <xf numFmtId="4" fontId="51" fillId="0" borderId="10" xfId="0" applyNumberFormat="1" applyFont="1" applyBorder="1"/>
    <xf numFmtId="43" fontId="68" fillId="0" borderId="0" xfId="7" applyFont="1" applyAlignment="1"/>
    <xf numFmtId="43" fontId="68" fillId="0" borderId="0" xfId="7" applyFont="1"/>
    <xf numFmtId="43" fontId="2" fillId="0" borderId="0" xfId="7" applyFont="1" applyAlignment="1">
      <alignment horizontal="center" vertical="center" wrapText="1"/>
    </xf>
    <xf numFmtId="43" fontId="5" fillId="0" borderId="0" xfId="7" applyFont="1" applyAlignment="1">
      <alignment horizontal="center" vertical="center" wrapText="1"/>
    </xf>
    <xf numFmtId="43" fontId="5" fillId="0" borderId="0" xfId="7" applyFont="1" applyAlignment="1">
      <alignment vertical="center"/>
    </xf>
    <xf numFmtId="43" fontId="39" fillId="0" borderId="0" xfId="7" applyFont="1"/>
    <xf numFmtId="4" fontId="20" fillId="0" borderId="10" xfId="0" applyNumberFormat="1" applyFont="1" applyBorder="1" applyAlignment="1">
      <alignment vertical="center"/>
    </xf>
    <xf numFmtId="10" fontId="21" fillId="2" borderId="15" xfId="0" applyNumberFormat="1" applyFont="1" applyFill="1" applyBorder="1" applyAlignment="1">
      <alignment horizontal="center" vertical="center"/>
    </xf>
    <xf numFmtId="43" fontId="15" fillId="0" borderId="15" xfId="7" applyFont="1" applyBorder="1" applyAlignment="1">
      <alignment horizontal="right"/>
    </xf>
    <xf numFmtId="43" fontId="181" fillId="0" borderId="0" xfId="7" applyFont="1" applyAlignment="1">
      <alignment horizontal="center" vertical="top"/>
    </xf>
    <xf numFmtId="0" fontId="5" fillId="0" borderId="36" xfId="24" applyNumberFormat="1" applyFont="1" applyBorder="1" applyAlignment="1">
      <alignment horizontal="left" indent="1"/>
    </xf>
    <xf numFmtId="43" fontId="5" fillId="0" borderId="9" xfId="12" applyNumberFormat="1" applyFont="1" applyBorder="1" applyAlignment="1">
      <alignment horizontal="right"/>
    </xf>
    <xf numFmtId="0" fontId="5" fillId="0" borderId="3" xfId="0" applyNumberFormat="1" applyFont="1" applyBorder="1" applyAlignment="1">
      <alignment horizontal="left" indent="1"/>
    </xf>
    <xf numFmtId="43" fontId="5" fillId="0" borderId="19" xfId="7" applyFont="1" applyBorder="1"/>
    <xf numFmtId="0" fontId="5" fillId="0" borderId="20" xfId="0" applyNumberFormat="1" applyFont="1" applyBorder="1" applyAlignment="1">
      <alignment horizontal="center"/>
    </xf>
    <xf numFmtId="43" fontId="2" fillId="0" borderId="95" xfId="7" applyFont="1" applyBorder="1" applyAlignment="1">
      <alignment vertical="center"/>
    </xf>
    <xf numFmtId="10" fontId="2" fillId="0" borderId="96" xfId="48" applyNumberFormat="1" applyFont="1" applyBorder="1" applyAlignment="1">
      <alignment horizontal="center" vertical="center"/>
    </xf>
    <xf numFmtId="0" fontId="8" fillId="0" borderId="0" xfId="0" applyNumberFormat="1" applyFont="1"/>
    <xf numFmtId="0" fontId="2" fillId="0" borderId="0" xfId="0" applyFont="1" applyFill="1" applyBorder="1" applyAlignment="1">
      <alignment vertical="top" wrapText="1"/>
    </xf>
    <xf numFmtId="0" fontId="5" fillId="0" borderId="0" xfId="0" applyFont="1" applyFill="1" applyBorder="1" applyAlignment="1">
      <alignment vertical="top" wrapText="1"/>
    </xf>
    <xf numFmtId="0" fontId="21" fillId="0" borderId="0" xfId="0" applyFont="1" applyFill="1" applyBorder="1" applyAlignment="1">
      <alignment vertical="top" wrapText="1"/>
    </xf>
    <xf numFmtId="0" fontId="20" fillId="0" borderId="0" xfId="0" applyFont="1" applyFill="1" applyBorder="1" applyAlignment="1">
      <alignment vertical="top" wrapText="1"/>
    </xf>
    <xf numFmtId="213" fontId="21" fillId="0" borderId="0" xfId="7" applyNumberFormat="1" applyFont="1" applyFill="1"/>
    <xf numFmtId="213" fontId="20" fillId="0" borderId="0" xfId="7" applyNumberFormat="1" applyFont="1" applyFill="1"/>
    <xf numFmtId="211" fontId="20" fillId="0" borderId="0" xfId="7" applyNumberFormat="1" applyFont="1" applyFill="1"/>
    <xf numFmtId="211" fontId="21" fillId="0" borderId="0" xfId="7" applyNumberFormat="1" applyFont="1" applyFill="1"/>
    <xf numFmtId="211" fontId="51" fillId="0" borderId="0" xfId="7" applyNumberFormat="1" applyFont="1" applyFill="1"/>
    <xf numFmtId="43" fontId="181" fillId="0" borderId="0" xfId="7" applyFont="1" applyAlignment="1">
      <alignment vertical="center"/>
    </xf>
    <xf numFmtId="0" fontId="5" fillId="0" borderId="0" xfId="0" applyFont="1" applyFill="1" applyAlignment="1">
      <alignment horizontal="center"/>
    </xf>
    <xf numFmtId="10" fontId="25" fillId="14" borderId="83" xfId="48" applyNumberFormat="1" applyFont="1" applyFill="1" applyBorder="1" applyAlignment="1"/>
    <xf numFmtId="10" fontId="25" fillId="14" borderId="83" xfId="48" applyNumberFormat="1" applyFont="1" applyFill="1" applyBorder="1" applyAlignment="1">
      <alignment horizontal="right"/>
    </xf>
    <xf numFmtId="49" fontId="20" fillId="14" borderId="97" xfId="40" applyNumberFormat="1" applyFont="1" applyFill="1" applyBorder="1" applyAlignment="1"/>
    <xf numFmtId="49" fontId="20" fillId="14" borderId="98" xfId="40" applyNumberFormat="1" applyFont="1" applyFill="1" applyBorder="1" applyAlignment="1">
      <alignment horizontal="justify"/>
    </xf>
    <xf numFmtId="4" fontId="25" fillId="14" borderId="98" xfId="7" applyNumberFormat="1" applyFont="1" applyFill="1" applyBorder="1" applyAlignment="1"/>
    <xf numFmtId="0" fontId="125" fillId="0" borderId="0" xfId="29" applyFont="1" applyBorder="1"/>
    <xf numFmtId="4" fontId="133" fillId="0" borderId="0" xfId="9" applyNumberFormat="1" applyFont="1"/>
    <xf numFmtId="43" fontId="133" fillId="0" borderId="0" xfId="9" applyFont="1"/>
    <xf numFmtId="0" fontId="13" fillId="0" borderId="0" xfId="29" applyFont="1"/>
    <xf numFmtId="0" fontId="135" fillId="0" borderId="0" xfId="29" applyFont="1" applyBorder="1"/>
    <xf numFmtId="4" fontId="5" fillId="0" borderId="0" xfId="9" applyNumberFormat="1" applyFont="1"/>
    <xf numFmtId="43" fontId="5" fillId="0" borderId="0" xfId="9" applyFont="1"/>
    <xf numFmtId="0" fontId="5" fillId="0" borderId="0" xfId="29"/>
    <xf numFmtId="0" fontId="18" fillId="0" borderId="0" xfId="29" applyFont="1" applyAlignment="1">
      <alignment horizontal="center" vertical="justify"/>
    </xf>
    <xf numFmtId="43" fontId="22" fillId="2" borderId="15" xfId="9" applyFont="1" applyFill="1" applyBorder="1" applyAlignment="1">
      <alignment horizontal="center" vertical="center" wrapText="1"/>
    </xf>
    <xf numFmtId="0" fontId="5" fillId="0" borderId="0" xfId="29" applyAlignment="1">
      <alignment horizontal="center"/>
    </xf>
    <xf numFmtId="0" fontId="5" fillId="0" borderId="0" xfId="29" applyAlignment="1">
      <alignment horizontal="left"/>
    </xf>
    <xf numFmtId="180" fontId="84" fillId="0" borderId="0" xfId="29" applyNumberFormat="1" applyFont="1" applyBorder="1" applyAlignment="1">
      <alignment horizontal="center"/>
    </xf>
    <xf numFmtId="4" fontId="5" fillId="0" borderId="0" xfId="29" applyNumberFormat="1" applyFont="1" applyBorder="1" applyAlignment="1">
      <alignment horizontal="center"/>
    </xf>
    <xf numFmtId="0" fontId="20" fillId="0" borderId="0" xfId="29" applyFont="1" applyAlignment="1">
      <alignment horizontal="center"/>
    </xf>
    <xf numFmtId="0" fontId="15" fillId="0" borderId="0" xfId="29" applyFont="1" applyBorder="1" applyAlignment="1">
      <alignment horizontal="center"/>
    </xf>
    <xf numFmtId="0" fontId="20" fillId="0" borderId="0" xfId="29" applyFont="1"/>
    <xf numFmtId="0" fontId="136" fillId="0" borderId="0" xfId="0" applyFont="1"/>
    <xf numFmtId="0" fontId="17" fillId="0" borderId="0" xfId="0" applyFont="1"/>
    <xf numFmtId="0" fontId="17" fillId="0" borderId="0" xfId="0" applyFont="1" applyAlignment="1">
      <alignment vertical="center"/>
    </xf>
    <xf numFmtId="0" fontId="20" fillId="0" borderId="0" xfId="0" applyFont="1" applyAlignment="1">
      <alignment vertical="center"/>
    </xf>
    <xf numFmtId="0" fontId="126" fillId="19" borderId="0" xfId="0" applyFont="1" applyFill="1"/>
    <xf numFmtId="0" fontId="182" fillId="0" borderId="0" xfId="0" applyFont="1"/>
    <xf numFmtId="0" fontId="173" fillId="0" borderId="0" xfId="0" applyFont="1" applyAlignment="1"/>
    <xf numFmtId="0" fontId="181" fillId="0" borderId="0" xfId="0" applyFont="1" applyAlignment="1">
      <alignment horizontal="center" vertical="center" wrapText="1"/>
    </xf>
    <xf numFmtId="0" fontId="179" fillId="0" borderId="0" xfId="0" applyFont="1" applyAlignment="1">
      <alignment horizontal="center" vertical="center" wrapText="1"/>
    </xf>
    <xf numFmtId="0" fontId="178" fillId="0" borderId="0" xfId="0" applyFont="1"/>
    <xf numFmtId="0" fontId="178" fillId="0" borderId="0" xfId="0" applyFont="1" applyAlignment="1">
      <alignment vertical="center"/>
    </xf>
    <xf numFmtId="0" fontId="173" fillId="0" borderId="0" xfId="0" applyFont="1" applyFill="1"/>
    <xf numFmtId="0" fontId="78" fillId="21" borderId="0" xfId="0" applyFont="1" applyFill="1"/>
    <xf numFmtId="0" fontId="0" fillId="21" borderId="0" xfId="0" applyFill="1" applyAlignment="1"/>
    <xf numFmtId="0" fontId="18" fillId="0" borderId="0" xfId="30" applyFont="1" applyAlignment="1">
      <alignment horizontal="center"/>
    </xf>
    <xf numFmtId="0" fontId="2" fillId="0" borderId="0" xfId="30" applyFont="1"/>
    <xf numFmtId="0" fontId="21" fillId="2" borderId="15" xfId="30" applyFont="1" applyFill="1" applyBorder="1" applyAlignment="1">
      <alignment horizontal="center" vertical="center" wrapText="1"/>
    </xf>
    <xf numFmtId="0" fontId="21" fillId="2" borderId="15" xfId="30" applyFont="1" applyFill="1" applyBorder="1" applyAlignment="1">
      <alignment horizontal="left" vertical="center" wrapText="1"/>
    </xf>
    <xf numFmtId="0" fontId="2" fillId="0" borderId="0" xfId="30" applyFont="1" applyAlignment="1">
      <alignment horizontal="center" vertical="center" wrapText="1"/>
    </xf>
    <xf numFmtId="0" fontId="135" fillId="0" borderId="0" xfId="30" applyFont="1" applyBorder="1"/>
    <xf numFmtId="0" fontId="5" fillId="0" borderId="0" xfId="30" applyFont="1"/>
    <xf numFmtId="0" fontId="135" fillId="0" borderId="0" xfId="30" applyFont="1" applyFill="1" applyBorder="1"/>
    <xf numFmtId="0" fontId="5" fillId="0" borderId="0" xfId="30" applyFont="1" applyFill="1"/>
    <xf numFmtId="0" fontId="21" fillId="0" borderId="87" xfId="30" applyFont="1" applyFill="1" applyBorder="1" applyAlignment="1">
      <alignment horizontal="center" vertical="center"/>
    </xf>
    <xf numFmtId="0" fontId="20" fillId="0" borderId="87" xfId="30" applyFont="1" applyFill="1" applyBorder="1" applyAlignment="1">
      <alignment horizontal="left" vertical="center"/>
    </xf>
    <xf numFmtId="0" fontId="20" fillId="0" borderId="87" xfId="30" applyFont="1" applyBorder="1" applyAlignment="1">
      <alignment vertical="center" wrapText="1"/>
    </xf>
    <xf numFmtId="0" fontId="20" fillId="0" borderId="87" xfId="30" applyFont="1" applyBorder="1" applyAlignment="1">
      <alignment horizontal="justify" vertical="center" wrapText="1"/>
    </xf>
    <xf numFmtId="0" fontId="20" fillId="0" borderId="87" xfId="30" applyFont="1" applyFill="1" applyBorder="1" applyAlignment="1">
      <alignment horizontal="center" vertical="center" wrapText="1"/>
    </xf>
    <xf numFmtId="43" fontId="20" fillId="0" borderId="87" xfId="9" applyFont="1" applyBorder="1" applyAlignment="1">
      <alignment horizontal="center" vertical="center" wrapText="1"/>
    </xf>
    <xf numFmtId="4" fontId="5" fillId="0" borderId="87" xfId="30" applyNumberFormat="1" applyFont="1" applyBorder="1" applyAlignment="1">
      <alignment vertical="center"/>
    </xf>
    <xf numFmtId="4" fontId="5" fillId="0" borderId="87" xfId="9" applyNumberFormat="1" applyFont="1" applyFill="1" applyBorder="1"/>
    <xf numFmtId="4" fontId="2" fillId="0" borderId="15" xfId="30" applyNumberFormat="1" applyFont="1" applyBorder="1" applyAlignment="1">
      <alignment vertical="center"/>
    </xf>
    <xf numFmtId="0" fontId="135" fillId="0" borderId="0" xfId="30" applyFont="1" applyBorder="1" applyAlignment="1">
      <alignment vertical="center"/>
    </xf>
    <xf numFmtId="0" fontId="5" fillId="0" borderId="0" xfId="30" applyFont="1" applyAlignment="1">
      <alignment vertical="center"/>
    </xf>
    <xf numFmtId="0" fontId="15" fillId="0" borderId="0" xfId="30" applyFont="1" applyAlignment="1">
      <alignment horizontal="left"/>
    </xf>
    <xf numFmtId="0" fontId="15" fillId="0" borderId="0" xfId="30" applyFont="1"/>
    <xf numFmtId="0" fontId="5" fillId="0" borderId="0" xfId="30" applyAlignment="1">
      <alignment horizontal="center"/>
    </xf>
    <xf numFmtId="0" fontId="5" fillId="0" borderId="0" xfId="30"/>
    <xf numFmtId="4" fontId="2" fillId="0" borderId="73" xfId="9" applyNumberFormat="1" applyFont="1" applyBorder="1" applyAlignment="1">
      <alignment horizontal="center"/>
    </xf>
    <xf numFmtId="0" fontId="21" fillId="0" borderId="10" xfId="39" applyFont="1" applyFill="1" applyBorder="1" applyAlignment="1">
      <alignment horizontal="left" vertical="top" wrapText="1"/>
    </xf>
    <xf numFmtId="1" fontId="5" fillId="0" borderId="10" xfId="0" applyNumberFormat="1" applyFont="1" applyBorder="1" applyAlignment="1">
      <alignment horizontal="justify" vertical="top" wrapText="1"/>
    </xf>
    <xf numFmtId="49" fontId="5" fillId="0" borderId="10" xfId="0" applyNumberFormat="1" applyFont="1" applyBorder="1" applyAlignment="1">
      <alignment horizontal="justify" vertical="top" wrapText="1"/>
    </xf>
    <xf numFmtId="0" fontId="20" fillId="0" borderId="10" xfId="0" applyFont="1" applyBorder="1" applyAlignment="1">
      <alignment horizontal="left" vertical="top" wrapText="1"/>
    </xf>
    <xf numFmtId="4" fontId="15" fillId="0" borderId="0" xfId="0" applyNumberFormat="1" applyFont="1"/>
    <xf numFmtId="0" fontId="20" fillId="0" borderId="10" xfId="39" applyFont="1" applyFill="1" applyBorder="1" applyAlignment="1">
      <alignment horizontal="left" vertical="top" wrapText="1"/>
    </xf>
    <xf numFmtId="43" fontId="20" fillId="0" borderId="10" xfId="11" applyFont="1" applyFill="1" applyBorder="1" applyAlignment="1">
      <alignment horizontal="justify"/>
    </xf>
    <xf numFmtId="49" fontId="5" fillId="0" borderId="10" xfId="0" applyNumberFormat="1" applyFont="1" applyFill="1" applyBorder="1" applyAlignment="1">
      <alignment horizontal="justify" vertical="top" wrapText="1"/>
    </xf>
    <xf numFmtId="4" fontId="20" fillId="0" borderId="10" xfId="0" applyNumberFormat="1" applyFont="1" applyBorder="1" applyAlignment="1">
      <alignment vertical="top"/>
    </xf>
    <xf numFmtId="43" fontId="20" fillId="0" borderId="10" xfId="11" applyFont="1" applyFill="1" applyBorder="1" applyAlignment="1">
      <alignment horizontal="right"/>
    </xf>
    <xf numFmtId="43" fontId="5" fillId="0" borderId="0" xfId="18" applyFont="1"/>
    <xf numFmtId="43" fontId="10" fillId="0" borderId="0" xfId="18" applyFont="1" applyAlignment="1"/>
    <xf numFmtId="43" fontId="10" fillId="0" borderId="0" xfId="18" applyFont="1"/>
    <xf numFmtId="43" fontId="5" fillId="10" borderId="0" xfId="18" applyFont="1" applyFill="1"/>
    <xf numFmtId="43" fontId="2" fillId="0" borderId="0" xfId="18" applyFont="1" applyAlignment="1"/>
    <xf numFmtId="43" fontId="2" fillId="0" borderId="0" xfId="18" applyFont="1" applyAlignment="1">
      <alignment vertical="center"/>
    </xf>
    <xf numFmtId="0" fontId="134" fillId="0" borderId="0" xfId="25" applyFont="1"/>
    <xf numFmtId="0" fontId="5" fillId="0" borderId="0" xfId="25"/>
    <xf numFmtId="0" fontId="29" fillId="0" borderId="0" xfId="25" applyFont="1"/>
    <xf numFmtId="0" fontId="17" fillId="0" borderId="0" xfId="25" applyFont="1"/>
    <xf numFmtId="0" fontId="18" fillId="0" borderId="0" xfId="25" applyFont="1" applyAlignment="1">
      <alignment horizontal="center" vertical="justify"/>
    </xf>
    <xf numFmtId="0" fontId="18" fillId="0" borderId="0" xfId="25" applyFont="1" applyAlignment="1">
      <alignment horizontal="center"/>
    </xf>
    <xf numFmtId="0" fontId="2" fillId="0" borderId="0" xfId="25" applyFont="1" applyAlignment="1">
      <alignment horizontal="center" vertical="center" wrapText="1"/>
    </xf>
    <xf numFmtId="0" fontId="5" fillId="0" borderId="15" xfId="25" applyBorder="1"/>
    <xf numFmtId="0" fontId="9" fillId="0" borderId="15" xfId="25" applyFont="1" applyBorder="1" applyAlignment="1">
      <alignment horizontal="left" vertical="center" wrapText="1" indent="1"/>
    </xf>
    <xf numFmtId="0" fontId="5" fillId="0" borderId="0" xfId="25" applyAlignment="1">
      <alignment vertical="center" wrapText="1"/>
    </xf>
    <xf numFmtId="0" fontId="9" fillId="0" borderId="15" xfId="25" applyFont="1" applyBorder="1" applyAlignment="1">
      <alignment horizontal="justify" vertical="center" wrapText="1"/>
    </xf>
    <xf numFmtId="0" fontId="115" fillId="0" borderId="0" xfId="25" applyFont="1" applyAlignment="1">
      <alignment horizontal="center"/>
    </xf>
    <xf numFmtId="0" fontId="127" fillId="0" borderId="61" xfId="24" applyFont="1" applyBorder="1" applyAlignment="1">
      <alignment horizontal="center"/>
    </xf>
    <xf numFmtId="49" fontId="127" fillId="0" borderId="61" xfId="24" applyNumberFormat="1" applyFont="1" applyBorder="1" applyAlignment="1">
      <alignment horizontal="center"/>
    </xf>
    <xf numFmtId="0" fontId="127" fillId="0" borderId="0" xfId="24" applyFont="1"/>
    <xf numFmtId="0" fontId="12" fillId="0" borderId="0" xfId="34" applyFont="1" applyAlignment="1" applyProtection="1">
      <alignment horizontal="center"/>
      <protection locked="0"/>
    </xf>
    <xf numFmtId="0" fontId="12" fillId="22" borderId="0" xfId="36" applyFill="1" applyAlignment="1">
      <alignment horizontal="center"/>
    </xf>
    <xf numFmtId="0" fontId="2" fillId="4" borderId="1" xfId="36" applyFont="1" applyFill="1" applyBorder="1"/>
    <xf numFmtId="0" fontId="22" fillId="5" borderId="25" xfId="36" applyFont="1" applyFill="1" applyBorder="1" applyAlignment="1">
      <alignment horizontal="center" vertical="justify"/>
    </xf>
    <xf numFmtId="0" fontId="22" fillId="5" borderId="26" xfId="36" applyFont="1" applyFill="1" applyBorder="1" applyAlignment="1">
      <alignment horizontal="center" vertical="center" wrapText="1"/>
    </xf>
    <xf numFmtId="0" fontId="8" fillId="0" borderId="99" xfId="36" applyFont="1" applyBorder="1" applyAlignment="1">
      <alignment horizontal="left" indent="1"/>
    </xf>
    <xf numFmtId="0" fontId="5" fillId="0" borderId="100" xfId="36" applyFont="1" applyBorder="1"/>
    <xf numFmtId="0" fontId="5" fillId="0" borderId="95" xfId="36" applyFont="1" applyBorder="1" applyAlignment="1">
      <alignment horizontal="center"/>
    </xf>
    <xf numFmtId="43" fontId="2" fillId="0" borderId="96" xfId="36" applyNumberFormat="1" applyFont="1" applyBorder="1"/>
    <xf numFmtId="0" fontId="12" fillId="0" borderId="1" xfId="36" applyBorder="1"/>
    <xf numFmtId="0" fontId="20" fillId="0" borderId="0" xfId="36" applyFont="1" applyAlignment="1">
      <alignment horizontal="left" indent="2"/>
    </xf>
    <xf numFmtId="0" fontId="20" fillId="12" borderId="0" xfId="36" applyFont="1" applyFill="1" applyAlignment="1">
      <alignment horizontal="left" indent="2"/>
    </xf>
    <xf numFmtId="0" fontId="20" fillId="0" borderId="0" xfId="36" applyFont="1" applyAlignment="1">
      <alignment horizontal="left" wrapText="1" indent="2"/>
    </xf>
    <xf numFmtId="0" fontId="20" fillId="0" borderId="0" xfId="36" applyFont="1" applyFill="1" applyAlignment="1">
      <alignment horizontal="left" indent="2"/>
    </xf>
    <xf numFmtId="0" fontId="20" fillId="0" borderId="0" xfId="36" applyFont="1" applyBorder="1" applyAlignment="1">
      <alignment horizontal="left" indent="2"/>
    </xf>
    <xf numFmtId="212" fontId="0" fillId="0" borderId="0" xfId="7" applyNumberFormat="1" applyFont="1"/>
    <xf numFmtId="175" fontId="2" fillId="0" borderId="10" xfId="38" applyNumberFormat="1" applyFont="1" applyBorder="1" applyAlignment="1" applyProtection="1">
      <alignment vertical="justify"/>
    </xf>
    <xf numFmtId="0" fontId="21" fillId="0" borderId="0" xfId="0" applyFont="1" applyAlignment="1">
      <alignment horizontal="right"/>
    </xf>
    <xf numFmtId="180" fontId="111" fillId="0" borderId="0" xfId="24" applyNumberFormat="1" applyFont="1" applyBorder="1" applyAlignment="1">
      <alignment horizontal="center"/>
    </xf>
    <xf numFmtId="4" fontId="141" fillId="0" borderId="0" xfId="0" applyNumberFormat="1" applyFont="1" applyAlignment="1">
      <alignment horizontal="left"/>
    </xf>
    <xf numFmtId="39" fontId="57" fillId="0" borderId="0" xfId="7" applyNumberFormat="1" applyFont="1"/>
    <xf numFmtId="0" fontId="179" fillId="0" borderId="0" xfId="0" applyFont="1"/>
    <xf numFmtId="0" fontId="9" fillId="0" borderId="0" xfId="45" applyFont="1" applyAlignment="1">
      <alignment horizontal="center" vertical="top"/>
    </xf>
    <xf numFmtId="180" fontId="139" fillId="0" borderId="0" xfId="45" applyNumberFormat="1" applyFont="1" applyBorder="1" applyAlignment="1">
      <alignment horizontal="center"/>
    </xf>
    <xf numFmtId="39" fontId="65" fillId="0" borderId="0" xfId="7" applyNumberFormat="1" applyFont="1" applyBorder="1"/>
    <xf numFmtId="0" fontId="78" fillId="0" borderId="0" xfId="0" applyFont="1" applyBorder="1"/>
    <xf numFmtId="43" fontId="15" fillId="0" borderId="0" xfId="7" applyFont="1" applyBorder="1"/>
    <xf numFmtId="0" fontId="178" fillId="0" borderId="0" xfId="0" applyFont="1" applyBorder="1"/>
    <xf numFmtId="4" fontId="1" fillId="12" borderId="0" xfId="7" applyNumberFormat="1" applyFill="1"/>
    <xf numFmtId="4" fontId="0" fillId="12" borderId="0" xfId="0" applyNumberFormat="1" applyFill="1"/>
    <xf numFmtId="0" fontId="116" fillId="0" borderId="0" xfId="31" applyFont="1" applyAlignment="1">
      <alignment horizontal="right"/>
    </xf>
    <xf numFmtId="0" fontId="115" fillId="0" borderId="0" xfId="31" applyFont="1"/>
    <xf numFmtId="175" fontId="2" fillId="0" borderId="10" xfId="38" applyNumberFormat="1" applyFont="1" applyBorder="1" applyAlignment="1" applyProtection="1">
      <alignment horizontal="left" vertical="justify" indent="2"/>
    </xf>
    <xf numFmtId="0" fontId="2" fillId="23" borderId="0" xfId="0" applyFont="1" applyFill="1" applyAlignment="1">
      <alignment horizontal="center" vertical="center"/>
    </xf>
    <xf numFmtId="0" fontId="21" fillId="23" borderId="0" xfId="0" applyFont="1" applyFill="1" applyAlignment="1">
      <alignment horizontal="center" vertical="center"/>
    </xf>
    <xf numFmtId="4" fontId="144" fillId="0" borderId="54" xfId="7" applyNumberFormat="1" applyFont="1" applyBorder="1" applyAlignment="1">
      <alignment horizontal="right"/>
    </xf>
    <xf numFmtId="10" fontId="55" fillId="0" borderId="10" xfId="48" applyNumberFormat="1" applyFont="1" applyBorder="1" applyAlignment="1">
      <alignment horizontal="right"/>
    </xf>
    <xf numFmtId="0" fontId="102" fillId="0" borderId="10" xfId="0" applyFont="1" applyBorder="1"/>
    <xf numFmtId="0" fontId="5" fillId="0" borderId="53" xfId="0" applyFont="1" applyBorder="1"/>
    <xf numFmtId="0" fontId="102" fillId="0" borderId="53" xfId="0" applyFont="1" applyBorder="1"/>
    <xf numFmtId="0" fontId="145" fillId="0" borderId="0" xfId="0" applyFont="1"/>
    <xf numFmtId="4" fontId="20" fillId="0" borderId="10" xfId="0" applyNumberFormat="1" applyFont="1" applyFill="1" applyBorder="1"/>
    <xf numFmtId="0" fontId="138" fillId="0" borderId="10" xfId="0" applyFont="1" applyBorder="1"/>
    <xf numFmtId="4" fontId="103" fillId="0" borderId="10" xfId="0" applyNumberFormat="1" applyFont="1" applyBorder="1"/>
    <xf numFmtId="1" fontId="103" fillId="0" borderId="10" xfId="0" applyNumberFormat="1" applyFont="1" applyBorder="1" applyAlignment="1">
      <alignment horizontal="center"/>
    </xf>
    <xf numFmtId="49" fontId="103" fillId="0" borderId="10" xfId="0" applyNumberFormat="1" applyFont="1" applyFill="1" applyBorder="1" applyAlignment="1">
      <alignment horizontal="center"/>
    </xf>
    <xf numFmtId="0" fontId="103" fillId="0" borderId="10" xfId="0" applyFont="1" applyBorder="1"/>
    <xf numFmtId="4" fontId="183" fillId="0" borderId="10" xfId="0" applyNumberFormat="1" applyFont="1" applyBorder="1"/>
    <xf numFmtId="0" fontId="5" fillId="0" borderId="0" xfId="0" applyFont="1" applyBorder="1"/>
    <xf numFmtId="0" fontId="146" fillId="0" borderId="61" xfId="29" applyFont="1" applyBorder="1"/>
    <xf numFmtId="0" fontId="146" fillId="0" borderId="61" xfId="29" applyFont="1" applyBorder="1" applyAlignment="1">
      <alignment horizontal="center"/>
    </xf>
    <xf numFmtId="43" fontId="146" fillId="0" borderId="61" xfId="29" applyNumberFormat="1" applyFont="1" applyBorder="1" applyAlignment="1">
      <alignment horizontal="right"/>
    </xf>
    <xf numFmtId="0" fontId="173" fillId="12" borderId="0" xfId="0" applyFont="1" applyFill="1"/>
    <xf numFmtId="0" fontId="181" fillId="12" borderId="0" xfId="0" applyFont="1" applyFill="1"/>
    <xf numFmtId="0" fontId="179" fillId="0" borderId="0" xfId="39" applyFont="1" applyFill="1"/>
    <xf numFmtId="43" fontId="5" fillId="24" borderId="0" xfId="7" applyFont="1" applyFill="1"/>
    <xf numFmtId="43" fontId="147" fillId="0" borderId="0" xfId="7" applyFont="1"/>
    <xf numFmtId="0" fontId="147" fillId="0" borderId="0" xfId="0" applyFont="1"/>
    <xf numFmtId="0" fontId="20" fillId="0" borderId="0" xfId="0" applyFont="1" applyAlignment="1"/>
    <xf numFmtId="43" fontId="20" fillId="0" borderId="0" xfId="7" applyFont="1" applyBorder="1"/>
    <xf numFmtId="0" fontId="20" fillId="0" borderId="0" xfId="0" applyFont="1" applyBorder="1"/>
    <xf numFmtId="43" fontId="20" fillId="25" borderId="0" xfId="7" applyFont="1" applyFill="1"/>
    <xf numFmtId="43" fontId="148" fillId="25" borderId="0" xfId="7" applyFont="1" applyFill="1"/>
    <xf numFmtId="0" fontId="20" fillId="25" borderId="0" xfId="0" applyFont="1" applyFill="1"/>
    <xf numFmtId="43" fontId="20" fillId="0" borderId="0" xfId="7" applyFont="1" applyAlignment="1">
      <alignment vertical="center"/>
    </xf>
    <xf numFmtId="43" fontId="20" fillId="0" borderId="0" xfId="7" applyFont="1" applyFill="1"/>
    <xf numFmtId="0" fontId="20" fillId="0" borderId="0" xfId="0" applyFont="1" applyFill="1"/>
    <xf numFmtId="43" fontId="20" fillId="24" borderId="0" xfId="0" applyNumberFormat="1" applyFont="1" applyFill="1"/>
    <xf numFmtId="0" fontId="20" fillId="0" borderId="10" xfId="0" applyFont="1" applyBorder="1" applyAlignment="1">
      <alignment horizontal="left" vertical="center" wrapText="1"/>
    </xf>
    <xf numFmtId="4" fontId="20" fillId="12" borderId="10" xfId="0" applyNumberFormat="1" applyFont="1" applyFill="1" applyBorder="1"/>
    <xf numFmtId="1" fontId="20" fillId="12" borderId="10" xfId="0" applyNumberFormat="1" applyFont="1" applyFill="1" applyBorder="1" applyAlignment="1">
      <alignment horizontal="center"/>
    </xf>
    <xf numFmtId="49" fontId="20" fillId="12" borderId="10" xfId="0" applyNumberFormat="1" applyFont="1" applyFill="1" applyBorder="1" applyAlignment="1">
      <alignment horizontal="center"/>
    </xf>
    <xf numFmtId="0" fontId="20" fillId="12" borderId="10" xfId="0" applyFont="1" applyFill="1" applyBorder="1"/>
    <xf numFmtId="4" fontId="51" fillId="12" borderId="10" xfId="0" applyNumberFormat="1" applyFont="1" applyFill="1" applyBorder="1"/>
    <xf numFmtId="1" fontId="20" fillId="12" borderId="10" xfId="0" applyNumberFormat="1" applyFont="1" applyFill="1" applyBorder="1" applyAlignment="1">
      <alignment horizontal="center" vertical="center"/>
    </xf>
    <xf numFmtId="49" fontId="20" fillId="12" borderId="10" xfId="0" applyNumberFormat="1" applyFont="1" applyFill="1" applyBorder="1" applyAlignment="1">
      <alignment horizontal="center" vertical="center"/>
    </xf>
    <xf numFmtId="0" fontId="20" fillId="12" borderId="10" xfId="0" applyFont="1" applyFill="1" applyBorder="1" applyAlignment="1">
      <alignment wrapText="1"/>
    </xf>
    <xf numFmtId="0" fontId="179" fillId="12" borderId="10" xfId="0" applyFont="1" applyFill="1" applyBorder="1" applyAlignment="1">
      <alignment vertical="center" wrapText="1"/>
    </xf>
    <xf numFmtId="0" fontId="20" fillId="22" borderId="0" xfId="39" applyFont="1" applyFill="1"/>
    <xf numFmtId="0" fontId="184" fillId="18" borderId="0" xfId="0" applyFont="1" applyFill="1" applyAlignment="1">
      <alignment horizontal="center"/>
    </xf>
    <xf numFmtId="0" fontId="185" fillId="18" borderId="0" xfId="0" applyFont="1" applyFill="1" applyAlignment="1">
      <alignment horizontal="center"/>
    </xf>
    <xf numFmtId="43" fontId="15" fillId="18" borderId="0" xfId="7" applyFont="1" applyFill="1" applyBorder="1"/>
    <xf numFmtId="43" fontId="15" fillId="12" borderId="0" xfId="7" applyFont="1" applyFill="1" applyBorder="1"/>
    <xf numFmtId="43" fontId="5" fillId="12" borderId="0" xfId="7" applyFont="1" applyFill="1"/>
    <xf numFmtId="0" fontId="12" fillId="22" borderId="0" xfId="36" applyFill="1"/>
    <xf numFmtId="4" fontId="93" fillId="0" borderId="101" xfId="7" applyNumberFormat="1" applyFont="1" applyBorder="1" applyAlignment="1">
      <alignment horizontal="right"/>
    </xf>
    <xf numFmtId="10" fontId="93" fillId="0" borderId="102" xfId="48" applyNumberFormat="1" applyFont="1" applyBorder="1" applyAlignment="1">
      <alignment horizontal="center"/>
    </xf>
    <xf numFmtId="10" fontId="56" fillId="0" borderId="36" xfId="48" applyNumberFormat="1" applyFont="1" applyBorder="1" applyAlignment="1">
      <alignment horizontal="right"/>
    </xf>
    <xf numFmtId="10" fontId="56" fillId="0" borderId="4" xfId="48" applyNumberFormat="1" applyFont="1" applyBorder="1" applyAlignment="1">
      <alignment horizontal="right"/>
    </xf>
    <xf numFmtId="4" fontId="56" fillId="0" borderId="36" xfId="7" applyNumberFormat="1" applyFont="1" applyBorder="1" applyAlignment="1">
      <alignment horizontal="right"/>
    </xf>
    <xf numFmtId="4" fontId="56" fillId="0" borderId="3" xfId="7" applyNumberFormat="1" applyFont="1" applyBorder="1" applyAlignment="1">
      <alignment horizontal="right"/>
    </xf>
    <xf numFmtId="10" fontId="56" fillId="0" borderId="20" xfId="48" applyNumberFormat="1" applyFont="1" applyBorder="1" applyAlignment="1">
      <alignment horizontal="right"/>
    </xf>
    <xf numFmtId="1" fontId="20" fillId="0" borderId="10" xfId="0" applyNumberFormat="1" applyFont="1" applyFill="1" applyBorder="1" applyAlignment="1">
      <alignment horizontal="center"/>
    </xf>
    <xf numFmtId="0" fontId="20" fillId="0" borderId="10" xfId="0" applyFont="1" applyFill="1" applyBorder="1" applyAlignment="1">
      <alignment wrapText="1"/>
    </xf>
    <xf numFmtId="43" fontId="13" fillId="0" borderId="61" xfId="24" applyNumberFormat="1" applyFont="1" applyBorder="1" applyAlignment="1">
      <alignment horizontal="left"/>
    </xf>
    <xf numFmtId="177" fontId="13" fillId="0" borderId="61" xfId="24" applyNumberFormat="1" applyFont="1" applyBorder="1" applyAlignment="1">
      <alignment horizontal="right"/>
    </xf>
    <xf numFmtId="0" fontId="2" fillId="0" borderId="0" xfId="32" applyFont="1" applyBorder="1" applyAlignment="1"/>
    <xf numFmtId="0" fontId="5" fillId="0" borderId="0" xfId="32" applyFont="1" applyBorder="1" applyAlignment="1"/>
    <xf numFmtId="0" fontId="5" fillId="0" borderId="0" xfId="32" applyFont="1" applyAlignment="1"/>
    <xf numFmtId="0" fontId="5" fillId="0" borderId="0" xfId="32" applyFont="1" applyAlignment="1">
      <alignment horizontal="center"/>
    </xf>
    <xf numFmtId="14" fontId="115" fillId="0" borderId="6" xfId="32" applyNumberFormat="1" applyFont="1" applyBorder="1" applyAlignment="1">
      <alignment horizontal="center"/>
    </xf>
    <xf numFmtId="0" fontId="150" fillId="0" borderId="61" xfId="25" applyFont="1" applyBorder="1"/>
    <xf numFmtId="0" fontId="116" fillId="6" borderId="15" xfId="25" applyFont="1" applyFill="1" applyBorder="1" applyAlignment="1">
      <alignment horizontal="center" vertical="center" wrapText="1"/>
    </xf>
    <xf numFmtId="43" fontId="116" fillId="6" borderId="15" xfId="18" applyFont="1" applyFill="1" applyBorder="1" applyAlignment="1">
      <alignment horizontal="center" vertical="center" wrapText="1"/>
    </xf>
    <xf numFmtId="0" fontId="116" fillId="0" borderId="15" xfId="25" applyFont="1" applyBorder="1" applyAlignment="1">
      <alignment horizontal="center" vertical="center" wrapText="1"/>
    </xf>
    <xf numFmtId="0" fontId="115" fillId="0" borderId="15" xfId="25" applyFont="1" applyBorder="1" applyAlignment="1">
      <alignment vertical="center" wrapText="1"/>
    </xf>
    <xf numFmtId="0" fontId="115" fillId="0" borderId="15" xfId="25" applyFont="1" applyBorder="1" applyAlignment="1">
      <alignment horizontal="left" vertical="center" wrapText="1" indent="1"/>
    </xf>
    <xf numFmtId="0" fontId="115" fillId="0" borderId="15" xfId="25" applyFont="1" applyBorder="1" applyAlignment="1">
      <alignment horizontal="center" vertical="center" wrapText="1"/>
    </xf>
    <xf numFmtId="4" fontId="116" fillId="0" borderId="0" xfId="25" applyNumberFormat="1" applyFont="1" applyAlignment="1"/>
    <xf numFmtId="14" fontId="112" fillId="0" borderId="0" xfId="25" applyNumberFormat="1" applyFont="1" applyAlignment="1">
      <alignment horizontal="center"/>
    </xf>
    <xf numFmtId="0" fontId="115" fillId="0" borderId="0" xfId="25" applyFont="1" applyAlignment="1"/>
    <xf numFmtId="0" fontId="137" fillId="18" borderId="0" xfId="25" applyFont="1" applyFill="1" applyAlignment="1">
      <alignment horizontal="center"/>
    </xf>
    <xf numFmtId="0" fontId="5" fillId="0" borderId="0" xfId="0" applyNumberFormat="1" applyFont="1" applyFill="1"/>
    <xf numFmtId="10" fontId="5" fillId="0" borderId="0" xfId="48" applyNumberFormat="1" applyFont="1" applyFill="1" applyAlignment="1">
      <alignment horizontal="center"/>
    </xf>
    <xf numFmtId="43" fontId="20" fillId="20" borderId="0" xfId="7" applyFont="1" applyFill="1"/>
    <xf numFmtId="0" fontId="22" fillId="3" borderId="29" xfId="0" applyFont="1" applyFill="1" applyBorder="1" applyAlignment="1" applyProtection="1">
      <alignment horizontal="center" vertical="center"/>
    </xf>
    <xf numFmtId="0" fontId="22" fillId="3" borderId="30" xfId="0" applyFont="1" applyFill="1" applyBorder="1" applyAlignment="1" applyProtection="1">
      <alignment horizontal="center" vertical="center"/>
    </xf>
    <xf numFmtId="0" fontId="130" fillId="0" borderId="0" xfId="30" applyFont="1" applyFill="1" applyBorder="1" applyAlignment="1">
      <alignment horizontal="center" vertical="center"/>
    </xf>
    <xf numFmtId="0" fontId="2" fillId="0" borderId="0" xfId="30" applyFont="1" applyFill="1" applyAlignment="1">
      <alignment horizontal="center" vertical="center"/>
    </xf>
    <xf numFmtId="4" fontId="2" fillId="0" borderId="0" xfId="30" applyNumberFormat="1" applyFont="1" applyFill="1" applyAlignment="1">
      <alignment horizontal="right" vertical="center"/>
    </xf>
    <xf numFmtId="0" fontId="2" fillId="0" borderId="0" xfId="30" applyFont="1" applyFill="1"/>
    <xf numFmtId="0" fontId="130" fillId="0" borderId="0" xfId="30" applyFont="1" applyFill="1" applyBorder="1" applyAlignment="1">
      <alignment horizontal="center" vertical="center" wrapText="1"/>
    </xf>
    <xf numFmtId="4" fontId="2" fillId="0" borderId="15" xfId="9" applyNumberFormat="1" applyFont="1" applyBorder="1" applyAlignment="1">
      <alignment horizontal="center" vertical="center" wrapText="1"/>
    </xf>
    <xf numFmtId="4" fontId="21" fillId="0" borderId="15" xfId="9" applyNumberFormat="1" applyFont="1" applyBorder="1" applyAlignment="1">
      <alignment horizontal="center" vertical="center" wrapText="1"/>
    </xf>
    <xf numFmtId="0" fontId="2" fillId="0" borderId="0" xfId="30" applyFont="1" applyFill="1" applyAlignment="1">
      <alignment horizontal="center" vertical="center" wrapText="1"/>
    </xf>
    <xf numFmtId="4" fontId="2" fillId="0" borderId="0" xfId="30" applyNumberFormat="1" applyFont="1" applyFill="1" applyAlignment="1">
      <alignment horizontal="right" vertical="center" wrapText="1"/>
    </xf>
    <xf numFmtId="0" fontId="8" fillId="0" borderId="103" xfId="30" applyFont="1" applyBorder="1" applyAlignment="1">
      <alignment horizontal="center" vertical="center"/>
    </xf>
    <xf numFmtId="0" fontId="9" fillId="0" borderId="103" xfId="30" applyFont="1" applyFill="1" applyBorder="1" applyAlignment="1">
      <alignment horizontal="center" vertical="center"/>
    </xf>
    <xf numFmtId="0" fontId="9" fillId="0" borderId="103" xfId="30" applyFont="1" applyFill="1" applyBorder="1" applyAlignment="1">
      <alignment vertical="center" wrapText="1"/>
    </xf>
    <xf numFmtId="0" fontId="20" fillId="0" borderId="103" xfId="28" applyFont="1" applyBorder="1" applyAlignment="1">
      <alignment vertical="center" wrapText="1"/>
    </xf>
    <xf numFmtId="43" fontId="9" fillId="0" borderId="103" xfId="9" applyFont="1" applyBorder="1" applyAlignment="1">
      <alignment vertical="center" wrapText="1"/>
    </xf>
    <xf numFmtId="4" fontId="9" fillId="0" borderId="103" xfId="30" applyNumberFormat="1" applyFont="1" applyBorder="1" applyAlignment="1">
      <alignment horizontal="right" vertical="center"/>
    </xf>
    <xf numFmtId="4" fontId="65" fillId="0" borderId="0" xfId="30" applyNumberFormat="1" applyFont="1" applyFill="1" applyBorder="1" applyAlignment="1">
      <alignment horizontal="right" vertical="center"/>
    </xf>
    <xf numFmtId="4" fontId="9" fillId="0" borderId="103" xfId="9" applyNumberFormat="1" applyFont="1" applyBorder="1" applyAlignment="1">
      <alignment horizontal="right" vertical="center"/>
    </xf>
    <xf numFmtId="0" fontId="9" fillId="0" borderId="0" xfId="30" applyFont="1" applyFill="1" applyAlignment="1">
      <alignment horizontal="center" vertical="center"/>
    </xf>
    <xf numFmtId="4" fontId="9" fillId="0" borderId="0" xfId="30" applyNumberFormat="1" applyFont="1" applyFill="1" applyAlignment="1">
      <alignment horizontal="right" vertical="center"/>
    </xf>
    <xf numFmtId="0" fontId="9" fillId="0" borderId="0" xfId="30" applyFont="1" applyFill="1"/>
    <xf numFmtId="0" fontId="9" fillId="0" borderId="0" xfId="30" applyFont="1"/>
    <xf numFmtId="0" fontId="8" fillId="0" borderId="56" xfId="30" applyFont="1" applyBorder="1" applyAlignment="1">
      <alignment horizontal="center" vertical="center"/>
    </xf>
    <xf numFmtId="0" fontId="9" fillId="0" borderId="56" xfId="30" applyFont="1" applyFill="1" applyBorder="1" applyAlignment="1">
      <alignment horizontal="center" vertical="center"/>
    </xf>
    <xf numFmtId="0" fontId="9" fillId="0" borderId="56" xfId="30" applyFont="1" applyFill="1" applyBorder="1" applyAlignment="1">
      <alignment vertical="center" wrapText="1"/>
    </xf>
    <xf numFmtId="0" fontId="20" fillId="0" borderId="56" xfId="28" applyFont="1" applyBorder="1" applyAlignment="1">
      <alignment vertical="center" wrapText="1"/>
    </xf>
    <xf numFmtId="43" fontId="9" fillId="0" borderId="56" xfId="9" applyFont="1" applyBorder="1" applyAlignment="1">
      <alignment vertical="center" wrapText="1"/>
    </xf>
    <xf numFmtId="4" fontId="9" fillId="0" borderId="56" xfId="30" applyNumberFormat="1" applyFont="1" applyBorder="1" applyAlignment="1">
      <alignment horizontal="right" vertical="center"/>
    </xf>
    <xf numFmtId="4" fontId="9" fillId="0" borderId="56" xfId="9" applyNumberFormat="1" applyFont="1" applyBorder="1" applyAlignment="1">
      <alignment horizontal="right" vertical="center"/>
    </xf>
    <xf numFmtId="0" fontId="9" fillId="0" borderId="56" xfId="30" applyFont="1" applyFill="1" applyBorder="1" applyAlignment="1">
      <alignment vertical="center"/>
    </xf>
    <xf numFmtId="0" fontId="20" fillId="0" borderId="56" xfId="28" applyFont="1" applyFill="1" applyBorder="1" applyAlignment="1">
      <alignment vertical="center" wrapText="1"/>
    </xf>
    <xf numFmtId="0" fontId="5" fillId="0" borderId="0" xfId="30" applyFont="1" applyFill="1" applyAlignment="1">
      <alignment horizontal="center" vertical="center"/>
    </xf>
    <xf numFmtId="4" fontId="5" fillId="0" borderId="0" xfId="30" applyNumberFormat="1" applyFont="1" applyFill="1" applyAlignment="1">
      <alignment horizontal="right" vertical="center"/>
    </xf>
    <xf numFmtId="43" fontId="20" fillId="0" borderId="56" xfId="9" applyFont="1" applyBorder="1" applyAlignment="1">
      <alignment vertical="center" wrapText="1"/>
    </xf>
    <xf numFmtId="0" fontId="9" fillId="0" borderId="56" xfId="30" applyFont="1" applyFill="1" applyBorder="1" applyAlignment="1">
      <alignment horizontal="left" vertical="center" wrapText="1"/>
    </xf>
    <xf numFmtId="0" fontId="5" fillId="0" borderId="56" xfId="30" applyFont="1" applyBorder="1" applyAlignment="1">
      <alignment vertical="center"/>
    </xf>
    <xf numFmtId="4" fontId="5" fillId="0" borderId="56" xfId="9" applyNumberFormat="1" applyFont="1" applyBorder="1" applyAlignment="1">
      <alignment horizontal="right" vertical="center"/>
    </xf>
    <xf numFmtId="4" fontId="5" fillId="0" borderId="56" xfId="30" applyNumberFormat="1" applyFont="1" applyBorder="1" applyAlignment="1">
      <alignment horizontal="right" vertical="center"/>
    </xf>
    <xf numFmtId="0" fontId="18" fillId="0" borderId="6" xfId="30" applyFont="1" applyBorder="1" applyAlignment="1">
      <alignment horizontal="left"/>
    </xf>
    <xf numFmtId="0" fontId="18" fillId="0" borderId="6" xfId="30" applyFont="1" applyBorder="1" applyAlignment="1">
      <alignment horizontal="center"/>
    </xf>
    <xf numFmtId="4" fontId="5" fillId="12" borderId="0" xfId="9" applyNumberFormat="1" applyFont="1" applyFill="1"/>
    <xf numFmtId="4" fontId="2" fillId="0" borderId="0" xfId="9" applyNumberFormat="1" applyFont="1" applyBorder="1" applyAlignment="1">
      <alignment horizontal="center"/>
    </xf>
    <xf numFmtId="4" fontId="186" fillId="18" borderId="0" xfId="9" applyNumberFormat="1" applyFont="1" applyFill="1" applyAlignment="1">
      <alignment horizontal="center"/>
    </xf>
    <xf numFmtId="0" fontId="151" fillId="0" borderId="0" xfId="46" applyFont="1"/>
    <xf numFmtId="0" fontId="115" fillId="0" borderId="0" xfId="46" applyFont="1"/>
    <xf numFmtId="0" fontId="152" fillId="0" borderId="0" xfId="44" applyFont="1" applyBorder="1" applyAlignment="1">
      <alignment horizontal="right"/>
    </xf>
    <xf numFmtId="49" fontId="153" fillId="0" borderId="0" xfId="41" applyNumberFormat="1" applyFont="1" applyAlignment="1">
      <alignment horizontal="center" vertical="top"/>
    </xf>
    <xf numFmtId="0" fontId="115" fillId="0" borderId="0" xfId="46" applyFont="1" applyAlignment="1">
      <alignment horizontal="center"/>
    </xf>
    <xf numFmtId="10" fontId="115" fillId="0" borderId="0" xfId="46" applyNumberFormat="1" applyFont="1"/>
    <xf numFmtId="0" fontId="116" fillId="2" borderId="15" xfId="46" applyFont="1" applyFill="1" applyBorder="1" applyAlignment="1">
      <alignment horizontal="center" vertical="center" wrapText="1"/>
    </xf>
    <xf numFmtId="0" fontId="115" fillId="0" borderId="103" xfId="46" applyFont="1" applyBorder="1" applyAlignment="1">
      <alignment horizontal="center"/>
    </xf>
    <xf numFmtId="0" fontId="115" fillId="0" borderId="103" xfId="46" applyFont="1" applyBorder="1"/>
    <xf numFmtId="4" fontId="115" fillId="0" borderId="103" xfId="46" applyNumberFormat="1" applyFont="1" applyBorder="1"/>
    <xf numFmtId="4" fontId="115" fillId="0" borderId="56" xfId="35" applyNumberFormat="1" applyFont="1" applyBorder="1"/>
    <xf numFmtId="0" fontId="115" fillId="0" borderId="56" xfId="46" applyFont="1" applyBorder="1" applyAlignment="1">
      <alignment horizontal="center"/>
    </xf>
    <xf numFmtId="0" fontId="115" fillId="0" borderId="56" xfId="46" applyFont="1" applyBorder="1"/>
    <xf numFmtId="4" fontId="115" fillId="0" borderId="56" xfId="46" applyNumberFormat="1" applyFont="1" applyBorder="1"/>
    <xf numFmtId="0" fontId="115" fillId="0" borderId="92" xfId="46" applyFont="1" applyBorder="1" applyAlignment="1">
      <alignment horizontal="center"/>
    </xf>
    <xf numFmtId="0" fontId="115" fillId="0" borderId="92" xfId="46" applyFont="1" applyBorder="1"/>
    <xf numFmtId="4" fontId="115" fillId="0" borderId="92" xfId="46" applyNumberFormat="1" applyFont="1" applyBorder="1"/>
    <xf numFmtId="0" fontId="116" fillId="2" borderId="15" xfId="46" applyFont="1" applyFill="1" applyBorder="1" applyAlignment="1">
      <alignment horizontal="center"/>
    </xf>
    <xf numFmtId="4" fontId="116" fillId="2" borderId="15" xfId="46" applyNumberFormat="1" applyFont="1" applyFill="1" applyBorder="1"/>
    <xf numFmtId="4" fontId="115" fillId="0" borderId="0" xfId="46" applyNumberFormat="1" applyFont="1"/>
    <xf numFmtId="0" fontId="116" fillId="0" borderId="0" xfId="46" applyFont="1" applyAlignment="1">
      <alignment vertical="top"/>
    </xf>
    <xf numFmtId="0" fontId="116" fillId="0" borderId="15" xfId="46" applyFont="1" applyBorder="1" applyAlignment="1">
      <alignment horizontal="center" vertical="center" wrapText="1"/>
    </xf>
    <xf numFmtId="4" fontId="115" fillId="0" borderId="15" xfId="46" applyNumberFormat="1" applyFont="1" applyBorder="1"/>
    <xf numFmtId="0" fontId="115" fillId="0" borderId="54" xfId="46" applyFont="1" applyBorder="1"/>
    <xf numFmtId="4" fontId="115" fillId="0" borderId="53" xfId="46" applyNumberFormat="1" applyFont="1" applyBorder="1"/>
    <xf numFmtId="4" fontId="116" fillId="0" borderId="15" xfId="46" applyNumberFormat="1" applyFont="1" applyBorder="1"/>
    <xf numFmtId="0" fontId="155" fillId="0" borderId="0" xfId="32" applyFont="1" applyAlignment="1">
      <alignment horizontal="centerContinuous" vertical="center"/>
    </xf>
    <xf numFmtId="0" fontId="157" fillId="0" borderId="0" xfId="32" applyFont="1" applyAlignment="1">
      <alignment horizontal="centerContinuous" vertical="center"/>
    </xf>
    <xf numFmtId="0" fontId="157" fillId="0" borderId="0" xfId="32" applyFont="1" applyAlignment="1">
      <alignment horizontal="center" vertical="center"/>
    </xf>
    <xf numFmtId="0" fontId="157" fillId="0" borderId="0" xfId="32" applyFont="1"/>
    <xf numFmtId="0" fontId="157" fillId="0" borderId="0" xfId="32" applyFont="1" applyAlignment="1">
      <alignment horizontal="center"/>
    </xf>
    <xf numFmtId="175" fontId="157" fillId="0" borderId="86" xfId="32" applyNumberFormat="1" applyFont="1" applyBorder="1" applyAlignment="1" applyProtection="1">
      <alignment horizontal="center"/>
    </xf>
    <xf numFmtId="0" fontId="157" fillId="0" borderId="86" xfId="32" applyFont="1" applyBorder="1" applyAlignment="1">
      <alignment horizontal="center"/>
    </xf>
    <xf numFmtId="175" fontId="115" fillId="0" borderId="86" xfId="32" applyNumberFormat="1" applyFont="1" applyBorder="1" applyAlignment="1" applyProtection="1">
      <alignment horizontal="left"/>
    </xf>
    <xf numFmtId="43" fontId="115" fillId="0" borderId="86" xfId="18" applyFont="1" applyBorder="1" applyAlignment="1" applyProtection="1">
      <alignment horizontal="center"/>
    </xf>
    <xf numFmtId="43" fontId="157" fillId="0" borderId="56" xfId="18" applyFont="1" applyBorder="1"/>
    <xf numFmtId="43" fontId="157" fillId="0" borderId="86" xfId="18" applyFont="1" applyBorder="1"/>
    <xf numFmtId="43" fontId="115" fillId="0" borderId="86" xfId="18" applyFont="1" applyBorder="1" applyAlignment="1">
      <alignment horizontal="center"/>
    </xf>
    <xf numFmtId="43" fontId="157" fillId="0" borderId="56" xfId="18" applyFont="1" applyFill="1" applyBorder="1"/>
    <xf numFmtId="0" fontId="157" fillId="0" borderId="87" xfId="32" applyFont="1" applyBorder="1"/>
    <xf numFmtId="0" fontId="155" fillId="0" borderId="87" xfId="32" applyFont="1" applyBorder="1"/>
    <xf numFmtId="43" fontId="157" fillId="0" borderId="87" xfId="18" applyFont="1" applyBorder="1"/>
    <xf numFmtId="0" fontId="157" fillId="0" borderId="87" xfId="32" applyFont="1" applyBorder="1" applyAlignment="1">
      <alignment horizontal="center"/>
    </xf>
    <xf numFmtId="175" fontId="155" fillId="0" borderId="15" xfId="32" applyNumberFormat="1" applyFont="1" applyBorder="1" applyAlignment="1">
      <alignment horizontal="center" vertical="center"/>
    </xf>
    <xf numFmtId="0" fontId="157" fillId="0" borderId="69" xfId="32" applyFont="1" applyBorder="1" applyAlignment="1">
      <alignment vertical="center"/>
    </xf>
    <xf numFmtId="0" fontId="157" fillId="0" borderId="70" xfId="32" applyFont="1" applyBorder="1" applyAlignment="1">
      <alignment vertical="center"/>
    </xf>
    <xf numFmtId="43" fontId="116" fillId="2" borderId="15" xfId="18" applyFont="1" applyFill="1" applyBorder="1" applyAlignment="1">
      <alignment vertical="center"/>
    </xf>
    <xf numFmtId="0" fontId="157" fillId="0" borderId="0" xfId="32" applyFont="1" applyAlignment="1">
      <alignment vertical="center"/>
    </xf>
    <xf numFmtId="0" fontId="157" fillId="0" borderId="0" xfId="32" applyFont="1" applyBorder="1"/>
    <xf numFmtId="0" fontId="155" fillId="0" borderId="0" xfId="32" applyFont="1"/>
    <xf numFmtId="0" fontId="158" fillId="0" borderId="78" xfId="32" applyFont="1" applyBorder="1" applyAlignment="1">
      <alignment horizontal="center" wrapText="1"/>
    </xf>
    <xf numFmtId="0" fontId="157" fillId="0" borderId="69" xfId="32" applyFont="1" applyBorder="1" applyAlignment="1">
      <alignment horizontal="left" indent="2"/>
    </xf>
    <xf numFmtId="0" fontId="157" fillId="0" borderId="70" xfId="32" applyFont="1" applyBorder="1" applyAlignment="1">
      <alignment horizontal="left"/>
    </xf>
    <xf numFmtId="4" fontId="157" fillId="0" borderId="71" xfId="32" applyNumberFormat="1" applyFont="1" applyBorder="1" applyAlignment="1">
      <alignment horizontal="center"/>
    </xf>
    <xf numFmtId="43" fontId="157" fillId="0" borderId="5" xfId="18" applyFont="1" applyBorder="1" applyAlignment="1">
      <alignment horizontal="center"/>
    </xf>
    <xf numFmtId="0" fontId="157" fillId="0" borderId="70" xfId="32" applyFont="1" applyBorder="1"/>
    <xf numFmtId="4" fontId="157" fillId="0" borderId="71" xfId="32" applyNumberFormat="1" applyFont="1" applyBorder="1" applyAlignment="1">
      <alignment horizontal="right"/>
    </xf>
    <xf numFmtId="43" fontId="157" fillId="0" borderId="15" xfId="18" applyFont="1" applyBorder="1" applyAlignment="1">
      <alignment horizontal="right"/>
    </xf>
    <xf numFmtId="43" fontId="157" fillId="0" borderId="70" xfId="18" applyFont="1" applyBorder="1" applyAlignment="1">
      <alignment horizontal="left"/>
    </xf>
    <xf numFmtId="43" fontId="157" fillId="0" borderId="74" xfId="18" applyFont="1" applyBorder="1" applyAlignment="1">
      <alignment horizontal="center"/>
    </xf>
    <xf numFmtId="0" fontId="116" fillId="0" borderId="69" xfId="32" applyFont="1" applyBorder="1" applyAlignment="1">
      <alignment horizontal="left" indent="6"/>
    </xf>
    <xf numFmtId="43" fontId="116" fillId="0" borderId="15" xfId="18" applyFont="1" applyBorder="1" applyAlignment="1">
      <alignment horizontal="right"/>
    </xf>
    <xf numFmtId="0" fontId="116" fillId="0" borderId="0" xfId="46" applyFont="1" applyAlignment="1"/>
    <xf numFmtId="0" fontId="115" fillId="0" borderId="0" xfId="46" applyFont="1" applyAlignment="1"/>
    <xf numFmtId="0" fontId="115" fillId="0" borderId="0" xfId="32" applyFont="1" applyAlignment="1"/>
    <xf numFmtId="14" fontId="112" fillId="0" borderId="0" xfId="46" applyNumberFormat="1" applyFont="1" applyAlignment="1">
      <alignment horizontal="center"/>
    </xf>
    <xf numFmtId="0" fontId="159" fillId="0" borderId="0" xfId="44" applyFont="1" applyBorder="1" applyAlignment="1">
      <alignment horizontal="center"/>
    </xf>
    <xf numFmtId="49" fontId="160" fillId="0" borderId="0" xfId="41" applyNumberFormat="1" applyFont="1" applyBorder="1" applyAlignment="1">
      <alignment horizontal="center" vertical="top"/>
    </xf>
    <xf numFmtId="0" fontId="114" fillId="0" borderId="0" xfId="46" applyFont="1" applyBorder="1"/>
    <xf numFmtId="4" fontId="114" fillId="0" borderId="0" xfId="46" applyNumberFormat="1" applyFont="1" applyBorder="1"/>
    <xf numFmtId="0" fontId="114" fillId="0" borderId="0" xfId="46" applyFont="1"/>
    <xf numFmtId="0" fontId="114" fillId="0" borderId="0" xfId="38" applyFont="1"/>
    <xf numFmtId="0" fontId="114" fillId="0" borderId="0" xfId="38" applyFont="1" applyAlignment="1">
      <alignment horizontal="center"/>
    </xf>
    <xf numFmtId="4" fontId="114" fillId="0" borderId="0" xfId="38" applyNumberFormat="1" applyFont="1"/>
    <xf numFmtId="0" fontId="114" fillId="0" borderId="0" xfId="38" applyFont="1" applyBorder="1"/>
    <xf numFmtId="0" fontId="162" fillId="0" borderId="0" xfId="42" applyFont="1" applyAlignment="1">
      <alignment horizontal="center"/>
    </xf>
    <xf numFmtId="4" fontId="162" fillId="0" borderId="0" xfId="42" applyNumberFormat="1" applyFont="1" applyAlignment="1">
      <alignment horizontal="center"/>
    </xf>
    <xf numFmtId="0" fontId="115" fillId="0" borderId="0" xfId="42" applyFont="1"/>
    <xf numFmtId="0" fontId="115" fillId="0" borderId="0" xfId="42" applyFont="1" applyAlignment="1">
      <alignment horizontal="center"/>
    </xf>
    <xf numFmtId="4" fontId="115" fillId="0" borderId="0" xfId="42" applyNumberFormat="1" applyFont="1"/>
    <xf numFmtId="0" fontId="163" fillId="0" borderId="0" xfId="38" applyFont="1" applyBorder="1"/>
    <xf numFmtId="0" fontId="116" fillId="6" borderId="32" xfId="42" applyFont="1" applyFill="1" applyBorder="1" applyAlignment="1">
      <alignment horizontal="center" vertical="center" wrapText="1"/>
    </xf>
    <xf numFmtId="0" fontId="116" fillId="6" borderId="104" xfId="42" applyFont="1" applyFill="1" applyBorder="1" applyAlignment="1">
      <alignment horizontal="center" vertical="center" wrapText="1"/>
    </xf>
    <xf numFmtId="0" fontId="116" fillId="6" borderId="29" xfId="42" applyFont="1" applyFill="1" applyBorder="1" applyAlignment="1">
      <alignment horizontal="center" vertical="center" wrapText="1"/>
    </xf>
    <xf numFmtId="0" fontId="116" fillId="6" borderId="65" xfId="42" applyFont="1" applyFill="1" applyBorder="1" applyAlignment="1">
      <alignment horizontal="center" vertical="center" wrapText="1"/>
    </xf>
    <xf numFmtId="4" fontId="116" fillId="6" borderId="48" xfId="42" applyNumberFormat="1" applyFont="1" applyFill="1" applyBorder="1" applyAlignment="1">
      <alignment horizontal="center" vertical="center" wrapText="1"/>
    </xf>
    <xf numFmtId="0" fontId="115" fillId="0" borderId="0" xfId="38" applyFont="1" applyBorder="1" applyAlignment="1">
      <alignment vertical="center" wrapText="1"/>
    </xf>
    <xf numFmtId="0" fontId="116" fillId="11" borderId="32" xfId="42" applyFont="1" applyFill="1" applyBorder="1" applyAlignment="1">
      <alignment horizontal="center" vertical="center" wrapText="1"/>
    </xf>
    <xf numFmtId="0" fontId="115" fillId="0" borderId="0" xfId="38" applyFont="1" applyAlignment="1">
      <alignment vertical="center" wrapText="1"/>
    </xf>
    <xf numFmtId="0" fontId="162" fillId="0" borderId="54" xfId="38" applyFont="1" applyBorder="1"/>
    <xf numFmtId="4" fontId="115" fillId="0" borderId="54" xfId="38" applyNumberFormat="1" applyFont="1" applyBorder="1" applyAlignment="1">
      <alignment horizontal="left"/>
    </xf>
    <xf numFmtId="4" fontId="115" fillId="0" borderId="54" xfId="38" applyNumberFormat="1" applyFont="1" applyBorder="1" applyAlignment="1">
      <alignment horizontal="center"/>
    </xf>
    <xf numFmtId="1" fontId="115" fillId="0" borderId="54" xfId="38" applyNumberFormat="1" applyFont="1" applyBorder="1" applyAlignment="1">
      <alignment horizontal="center"/>
    </xf>
    <xf numFmtId="4" fontId="115" fillId="0" borderId="54" xfId="38" applyNumberFormat="1" applyFont="1" applyBorder="1"/>
    <xf numFmtId="0" fontId="115" fillId="0" borderId="54" xfId="42" applyFont="1" applyBorder="1" applyAlignment="1">
      <alignment horizontal="center"/>
    </xf>
    <xf numFmtId="4" fontId="162" fillId="0" borderId="54" xfId="18" applyNumberFormat="1" applyFont="1" applyBorder="1"/>
    <xf numFmtId="0" fontId="115" fillId="0" borderId="105" xfId="38" applyFont="1" applyBorder="1"/>
    <xf numFmtId="0" fontId="162" fillId="0" borderId="10" xfId="38" applyFont="1" applyBorder="1"/>
    <xf numFmtId="4" fontId="115" fillId="0" borderId="10" xfId="38" applyNumberFormat="1" applyFont="1" applyBorder="1" applyAlignment="1">
      <alignment horizontal="left"/>
    </xf>
    <xf numFmtId="4" fontId="115" fillId="0" borderId="10" xfId="38" applyNumberFormat="1" applyFont="1" applyBorder="1" applyAlignment="1">
      <alignment horizontal="center"/>
    </xf>
    <xf numFmtId="1" fontId="115" fillId="0" borderId="10" xfId="38" applyNumberFormat="1" applyFont="1" applyBorder="1" applyAlignment="1">
      <alignment horizontal="center"/>
    </xf>
    <xf numFmtId="4" fontId="115" fillId="0" borderId="10" xfId="38" applyNumberFormat="1" applyFont="1" applyBorder="1"/>
    <xf numFmtId="0" fontId="115" fillId="0" borderId="10" xfId="42" applyFont="1" applyBorder="1" applyAlignment="1">
      <alignment horizontal="center"/>
    </xf>
    <xf numFmtId="4" fontId="156" fillId="0" borderId="10" xfId="18" applyNumberFormat="1" applyFont="1" applyBorder="1"/>
    <xf numFmtId="0" fontId="164" fillId="0" borderId="10" xfId="38" applyFont="1" applyBorder="1"/>
    <xf numFmtId="4" fontId="164" fillId="0" borderId="10" xfId="38" applyNumberFormat="1" applyFont="1" applyBorder="1"/>
    <xf numFmtId="4" fontId="115" fillId="0" borderId="10" xfId="18" applyNumberFormat="1" applyFont="1" applyBorder="1"/>
    <xf numFmtId="0" fontId="115" fillId="0" borderId="10" xfId="38" applyFont="1" applyBorder="1" applyAlignment="1">
      <alignment horizontal="center"/>
    </xf>
    <xf numFmtId="4" fontId="164" fillId="0" borderId="10" xfId="38" applyNumberFormat="1" applyFont="1" applyBorder="1" applyAlignment="1">
      <alignment horizontal="left"/>
    </xf>
    <xf numFmtId="4" fontId="164" fillId="0" borderId="10" xfId="38" applyNumberFormat="1" applyFont="1" applyBorder="1" applyAlignment="1">
      <alignment horizontal="right"/>
    </xf>
    <xf numFmtId="0" fontId="164" fillId="0" borderId="10" xfId="38" applyFont="1" applyBorder="1" applyAlignment="1">
      <alignment horizontal="left" wrapText="1"/>
    </xf>
    <xf numFmtId="0" fontId="164" fillId="0" borderId="10" xfId="38" applyFont="1" applyBorder="1" applyAlignment="1">
      <alignment wrapText="1"/>
    </xf>
    <xf numFmtId="4" fontId="164" fillId="0" borderId="10" xfId="38" applyNumberFormat="1" applyFont="1" applyBorder="1" applyAlignment="1">
      <alignment horizontal="center"/>
    </xf>
    <xf numFmtId="0" fontId="165" fillId="0" borderId="10" xfId="38" applyFont="1" applyBorder="1" applyAlignment="1">
      <alignment wrapText="1"/>
    </xf>
    <xf numFmtId="4" fontId="115" fillId="0" borderId="0" xfId="38" applyNumberFormat="1" applyFont="1" applyBorder="1"/>
    <xf numFmtId="4" fontId="116" fillId="0" borderId="10" xfId="18" applyNumberFormat="1" applyFont="1" applyBorder="1"/>
    <xf numFmtId="4" fontId="162" fillId="0" borderId="10" xfId="18" applyNumberFormat="1" applyFont="1" applyBorder="1"/>
    <xf numFmtId="4" fontId="115" fillId="0" borderId="10" xfId="18" applyNumberFormat="1" applyFont="1" applyFill="1" applyBorder="1"/>
    <xf numFmtId="0" fontId="162" fillId="0" borderId="10" xfId="42" applyFont="1" applyBorder="1" applyAlignment="1">
      <alignment wrapText="1"/>
    </xf>
    <xf numFmtId="0" fontId="115" fillId="0" borderId="10" xfId="42" applyFont="1" applyBorder="1"/>
    <xf numFmtId="43" fontId="115" fillId="0" borderId="10" xfId="18" applyFont="1" applyBorder="1"/>
    <xf numFmtId="0" fontId="115" fillId="0" borderId="21" xfId="42" applyFont="1" applyBorder="1" applyAlignment="1">
      <alignment horizontal="center"/>
    </xf>
    <xf numFmtId="0" fontId="115" fillId="0" borderId="53" xfId="42" applyFont="1" applyBorder="1"/>
    <xf numFmtId="0" fontId="115" fillId="0" borderId="44" xfId="42" applyFont="1" applyBorder="1" applyAlignment="1">
      <alignment horizontal="center"/>
    </xf>
    <xf numFmtId="4" fontId="115" fillId="0" borderId="53" xfId="42" applyNumberFormat="1" applyFont="1" applyBorder="1"/>
    <xf numFmtId="0" fontId="116" fillId="0" borderId="0" xfId="38" applyFont="1" applyAlignment="1"/>
    <xf numFmtId="0" fontId="115" fillId="0" borderId="0" xfId="38" applyFont="1" applyAlignment="1"/>
    <xf numFmtId="14" fontId="115" fillId="0" borderId="0" xfId="38" applyNumberFormat="1" applyFont="1" applyAlignment="1"/>
    <xf numFmtId="14" fontId="112" fillId="0" borderId="0" xfId="38" applyNumberFormat="1" applyFont="1" applyAlignment="1">
      <alignment horizontal="center"/>
    </xf>
    <xf numFmtId="0" fontId="116" fillId="0" borderId="0" xfId="38" applyFont="1" applyAlignment="1">
      <alignment horizontal="center"/>
    </xf>
    <xf numFmtId="0" fontId="159" fillId="0" borderId="0" xfId="38" applyFont="1" applyBorder="1" applyAlignment="1">
      <alignment horizontal="center"/>
    </xf>
    <xf numFmtId="0" fontId="151" fillId="0" borderId="0" xfId="46" applyFont="1" applyBorder="1"/>
    <xf numFmtId="0" fontId="166" fillId="0" borderId="0" xfId="42" applyFont="1" applyAlignment="1">
      <alignment horizontal="center"/>
    </xf>
    <xf numFmtId="0" fontId="151" fillId="0" borderId="0" xfId="38" applyFont="1" applyBorder="1"/>
    <xf numFmtId="0" fontId="151" fillId="0" borderId="0" xfId="38" applyFont="1"/>
    <xf numFmtId="0" fontId="116" fillId="6" borderId="29" xfId="42" applyFont="1" applyFill="1" applyBorder="1" applyAlignment="1">
      <alignment horizontal="center" vertical="center"/>
    </xf>
    <xf numFmtId="0" fontId="116" fillId="6" borderId="29" xfId="42" applyFont="1" applyFill="1" applyBorder="1" applyAlignment="1">
      <alignment horizontal="center" vertical="justify"/>
    </xf>
    <xf numFmtId="0" fontId="116" fillId="6" borderId="29" xfId="42" applyFont="1" applyFill="1" applyBorder="1" applyAlignment="1">
      <alignment horizontal="center" vertical="justify" wrapText="1"/>
    </xf>
    <xf numFmtId="0" fontId="156" fillId="0" borderId="54" xfId="38" applyFont="1" applyBorder="1"/>
    <xf numFmtId="39" fontId="156" fillId="0" borderId="54" xfId="18" applyNumberFormat="1" applyFont="1" applyBorder="1"/>
    <xf numFmtId="0" fontId="156" fillId="0" borderId="10" xfId="38" applyFont="1" applyBorder="1"/>
    <xf numFmtId="39" fontId="156" fillId="0" borderId="10" xfId="18" applyNumberFormat="1" applyFont="1" applyBorder="1"/>
    <xf numFmtId="3" fontId="115" fillId="0" borderId="10" xfId="38" applyNumberFormat="1" applyFont="1" applyBorder="1" applyAlignment="1">
      <alignment horizontal="center"/>
    </xf>
    <xf numFmtId="39" fontId="115" fillId="0" borderId="10" xfId="18" applyNumberFormat="1" applyFont="1" applyBorder="1" applyAlignment="1">
      <alignment horizontal="right"/>
    </xf>
    <xf numFmtId="0" fontId="115" fillId="0" borderId="10" xfId="38" applyFont="1" applyBorder="1" applyAlignment="1"/>
    <xf numFmtId="0" fontId="115" fillId="0" borderId="10" xfId="38" applyFont="1" applyBorder="1"/>
    <xf numFmtId="39" fontId="115" fillId="0" borderId="10" xfId="18" applyNumberFormat="1" applyFont="1" applyBorder="1"/>
    <xf numFmtId="4" fontId="112" fillId="0" borderId="10" xfId="38" applyNumberFormat="1" applyFont="1" applyBorder="1" applyAlignment="1">
      <alignment horizontal="left"/>
    </xf>
    <xf numFmtId="4" fontId="112" fillId="0" borderId="10" xfId="38" applyNumberFormat="1" applyFont="1" applyBorder="1" applyAlignment="1">
      <alignment horizontal="center"/>
    </xf>
    <xf numFmtId="3" fontId="112" fillId="0" borderId="10" xfId="38" applyNumberFormat="1" applyFont="1" applyBorder="1" applyAlignment="1">
      <alignment horizontal="center"/>
    </xf>
    <xf numFmtId="4" fontId="112" fillId="0" borderId="10" xfId="38" applyNumberFormat="1" applyFont="1" applyBorder="1"/>
    <xf numFmtId="0" fontId="112" fillId="0" borderId="10" xfId="42" applyFont="1" applyBorder="1" applyAlignment="1">
      <alignment horizontal="center"/>
    </xf>
    <xf numFmtId="0" fontId="115" fillId="0" borderId="10" xfId="38" applyFont="1" applyBorder="1" applyAlignment="1">
      <alignment horizontal="left"/>
    </xf>
    <xf numFmtId="4" fontId="115" fillId="0" borderId="10" xfId="38" applyNumberFormat="1" applyFont="1" applyBorder="1" applyAlignment="1">
      <alignment horizontal="right"/>
    </xf>
    <xf numFmtId="0" fontId="115" fillId="0" borderId="21" xfId="38" applyFont="1" applyBorder="1"/>
    <xf numFmtId="176" fontId="163" fillId="0" borderId="0" xfId="38" applyNumberFormat="1" applyFont="1" applyBorder="1"/>
    <xf numFmtId="0" fontId="163" fillId="0" borderId="0" xfId="38" applyFont="1"/>
    <xf numFmtId="0" fontId="167" fillId="0" borderId="10" xfId="38" applyFont="1" applyBorder="1"/>
    <xf numFmtId="4" fontId="168" fillId="0" borderId="10" xfId="38" applyNumberFormat="1" applyFont="1" applyBorder="1" applyAlignment="1">
      <alignment horizontal="left"/>
    </xf>
    <xf numFmtId="4" fontId="168" fillId="0" borderId="10" xfId="38" applyNumberFormat="1" applyFont="1" applyBorder="1" applyAlignment="1">
      <alignment horizontal="center"/>
    </xf>
    <xf numFmtId="3" fontId="168" fillId="0" borderId="10" xfId="38" applyNumberFormat="1" applyFont="1" applyBorder="1" applyAlignment="1">
      <alignment horizontal="center"/>
    </xf>
    <xf numFmtId="4" fontId="168" fillId="0" borderId="10" xfId="38" applyNumberFormat="1" applyFont="1" applyBorder="1"/>
    <xf numFmtId="0" fontId="168" fillId="0" borderId="10" xfId="42" applyFont="1" applyBorder="1" applyAlignment="1">
      <alignment horizontal="center"/>
    </xf>
    <xf numFmtId="39" fontId="167" fillId="0" borderId="10" xfId="18" applyNumberFormat="1" applyFont="1" applyBorder="1"/>
    <xf numFmtId="0" fontId="165" fillId="0" borderId="10" xfId="38" applyFont="1" applyBorder="1"/>
    <xf numFmtId="3" fontId="164" fillId="0" borderId="10" xfId="38" applyNumberFormat="1" applyFont="1" applyBorder="1" applyAlignment="1">
      <alignment horizontal="center"/>
    </xf>
    <xf numFmtId="0" fontId="164" fillId="0" borderId="10" xfId="42" applyFont="1" applyBorder="1" applyAlignment="1">
      <alignment horizontal="center"/>
    </xf>
    <xf numFmtId="39" fontId="165" fillId="0" borderId="10" xfId="18" applyNumberFormat="1" applyFont="1" applyBorder="1"/>
    <xf numFmtId="39" fontId="167" fillId="0" borderId="10" xfId="18" applyNumberFormat="1" applyFont="1" applyBorder="1" applyAlignment="1">
      <alignment horizontal="right"/>
    </xf>
    <xf numFmtId="39" fontId="164" fillId="0" borderId="10" xfId="18" applyNumberFormat="1" applyFont="1" applyFill="1" applyBorder="1" applyAlignment="1">
      <alignment horizontal="right"/>
    </xf>
    <xf numFmtId="0" fontId="164" fillId="0" borderId="21" xfId="38" applyFont="1" applyBorder="1"/>
    <xf numFmtId="4" fontId="168" fillId="0" borderId="10" xfId="38" applyNumberFormat="1" applyFont="1" applyBorder="1" applyAlignment="1">
      <alignment horizontal="right"/>
    </xf>
    <xf numFmtId="0" fontId="156" fillId="0" borderId="10" xfId="42" applyFont="1" applyBorder="1"/>
    <xf numFmtId="0" fontId="112" fillId="0" borderId="10" xfId="42" applyFont="1" applyBorder="1"/>
    <xf numFmtId="43" fontId="112" fillId="0" borderId="10" xfId="18" applyFont="1" applyBorder="1"/>
    <xf numFmtId="3" fontId="112" fillId="0" borderId="10" xfId="42" applyNumberFormat="1" applyFont="1" applyBorder="1" applyAlignment="1">
      <alignment horizontal="center"/>
    </xf>
    <xf numFmtId="3" fontId="115" fillId="0" borderId="53" xfId="42" applyNumberFormat="1" applyFont="1" applyBorder="1" applyAlignment="1">
      <alignment horizontal="center"/>
    </xf>
    <xf numFmtId="3" fontId="115" fillId="0" borderId="0" xfId="38" applyNumberFormat="1" applyFont="1" applyAlignment="1">
      <alignment horizontal="center"/>
    </xf>
    <xf numFmtId="43" fontId="22" fillId="13" borderId="76" xfId="17" applyFont="1" applyFill="1" applyBorder="1" applyAlignment="1">
      <alignment horizontal="centerContinuous" wrapText="1"/>
    </xf>
    <xf numFmtId="4" fontId="25" fillId="0" borderId="0" xfId="7" applyNumberFormat="1" applyFont="1" applyBorder="1" applyAlignment="1">
      <alignment horizontal="center"/>
    </xf>
    <xf numFmtId="4" fontId="25" fillId="0" borderId="0" xfId="7" applyNumberFormat="1" applyFont="1" applyBorder="1" applyAlignment="1"/>
    <xf numFmtId="49" fontId="15" fillId="14" borderId="62" xfId="40" applyNumberFormat="1" applyFont="1" applyFill="1" applyBorder="1" applyAlignment="1">
      <alignment horizontal="left" indent="1"/>
    </xf>
    <xf numFmtId="4" fontId="169" fillId="14" borderId="83" xfId="7" applyNumberFormat="1" applyFont="1" applyFill="1" applyBorder="1" applyAlignment="1"/>
    <xf numFmtId="49" fontId="20" fillId="14" borderId="84" xfId="40" applyNumberFormat="1" applyFont="1" applyFill="1" applyBorder="1" applyAlignment="1">
      <alignment horizontal="left" indent="2"/>
    </xf>
    <xf numFmtId="0" fontId="20" fillId="0" borderId="10" xfId="0" applyFont="1" applyFill="1" applyBorder="1" applyAlignment="1">
      <alignment vertical="center" wrapText="1"/>
    </xf>
    <xf numFmtId="0" fontId="15" fillId="26" borderId="0" xfId="0" applyFont="1" applyFill="1"/>
    <xf numFmtId="43" fontId="15" fillId="26" borderId="0" xfId="0" applyNumberFormat="1" applyFont="1" applyFill="1"/>
    <xf numFmtId="0" fontId="15" fillId="26" borderId="0" xfId="0" applyFont="1" applyFill="1" applyAlignment="1">
      <alignment horizontal="right"/>
    </xf>
    <xf numFmtId="0" fontId="20" fillId="0" borderId="10" xfId="0" applyFont="1" applyFill="1" applyBorder="1" applyAlignment="1">
      <alignment vertical="top" wrapText="1"/>
    </xf>
    <xf numFmtId="4" fontId="51" fillId="0" borderId="10" xfId="0" applyNumberFormat="1" applyFont="1" applyFill="1" applyBorder="1"/>
    <xf numFmtId="1" fontId="20" fillId="0" borderId="10" xfId="0" applyNumberFormat="1" applyFont="1" applyFill="1" applyBorder="1" applyAlignment="1">
      <alignment horizontal="center" vertical="center"/>
    </xf>
    <xf numFmtId="43" fontId="15" fillId="23" borderId="0" xfId="7" applyFont="1" applyFill="1"/>
    <xf numFmtId="43" fontId="20" fillId="23" borderId="0" xfId="7" applyFont="1" applyFill="1"/>
    <xf numFmtId="43" fontId="20" fillId="23" borderId="0" xfId="0" applyNumberFormat="1" applyFont="1" applyFill="1" applyAlignment="1">
      <alignment horizontal="center" wrapText="1"/>
    </xf>
    <xf numFmtId="0" fontId="21" fillId="0" borderId="0" xfId="0" applyFont="1" applyFill="1" applyAlignment="1">
      <alignment horizontal="center" vertical="center" wrapText="1"/>
    </xf>
    <xf numFmtId="43" fontId="171" fillId="27" borderId="0" xfId="7" applyFont="1" applyFill="1" applyAlignment="1"/>
    <xf numFmtId="39" fontId="65" fillId="27" borderId="0" xfId="7" applyNumberFormat="1" applyFont="1" applyFill="1"/>
    <xf numFmtId="0" fontId="15" fillId="27" borderId="0" xfId="0" applyFont="1" applyFill="1"/>
    <xf numFmtId="0" fontId="21" fillId="3" borderId="15" xfId="0" applyFont="1" applyFill="1" applyBorder="1" applyAlignment="1">
      <alignment horizontal="center" vertical="center" wrapText="1"/>
    </xf>
    <xf numFmtId="0" fontId="20" fillId="12" borderId="10" xfId="0" applyFont="1" applyFill="1" applyBorder="1" applyAlignment="1">
      <alignment vertical="top" wrapText="1"/>
    </xf>
    <xf numFmtId="39" fontId="45" fillId="0" borderId="0" xfId="7" applyNumberFormat="1" applyFont="1" applyFill="1" applyAlignment="1">
      <alignment vertical="top"/>
    </xf>
    <xf numFmtId="0" fontId="20" fillId="0" borderId="56" xfId="0" applyFont="1" applyFill="1" applyBorder="1" applyAlignment="1" applyProtection="1">
      <alignment horizontal="left" vertical="center" wrapText="1"/>
    </xf>
    <xf numFmtId="43" fontId="20" fillId="0" borderId="106" xfId="7" applyFont="1" applyFill="1" applyBorder="1" applyAlignment="1" applyProtection="1">
      <alignment horizontal="left" vertical="center" wrapText="1"/>
    </xf>
    <xf numFmtId="0" fontId="20" fillId="0" borderId="87" xfId="0" applyFont="1" applyFill="1" applyBorder="1" applyAlignment="1" applyProtection="1">
      <alignment horizontal="left" vertical="center" wrapText="1"/>
    </xf>
    <xf numFmtId="43" fontId="20" fillId="0" borderId="107" xfId="7" applyFont="1" applyFill="1" applyBorder="1" applyAlignment="1" applyProtection="1">
      <alignment horizontal="left" vertical="center" wrapText="1"/>
    </xf>
    <xf numFmtId="0" fontId="81" fillId="0" borderId="25" xfId="0" applyFont="1" applyFill="1" applyBorder="1" applyAlignment="1" applyProtection="1">
      <alignment vertical="center"/>
    </xf>
    <xf numFmtId="180" fontId="103" fillId="0" borderId="0" xfId="0" applyNumberFormat="1" applyFont="1" applyBorder="1" applyAlignment="1">
      <alignment horizontal="center"/>
    </xf>
    <xf numFmtId="175" fontId="5" fillId="0" borderId="10" xfId="38" applyNumberFormat="1" applyFont="1" applyBorder="1" applyAlignment="1" applyProtection="1">
      <alignment horizontal="left" wrapText="1" indent="2"/>
    </xf>
    <xf numFmtId="43" fontId="150" fillId="0" borderId="61" xfId="38" applyNumberFormat="1" applyFont="1" applyBorder="1" applyAlignment="1">
      <alignment horizontal="left"/>
    </xf>
    <xf numFmtId="43" fontId="150" fillId="0" borderId="61" xfId="38" applyNumberFormat="1" applyFont="1" applyBorder="1" applyAlignment="1">
      <alignment horizontal="center"/>
    </xf>
    <xf numFmtId="43" fontId="150" fillId="0" borderId="61" xfId="38" applyNumberFormat="1" applyFont="1" applyBorder="1" applyAlignment="1">
      <alignment horizontal="right"/>
    </xf>
    <xf numFmtId="0" fontId="170" fillId="18" borderId="0" xfId="25" applyFont="1" applyFill="1" applyAlignment="1">
      <alignment horizontal="center"/>
    </xf>
    <xf numFmtId="0" fontId="135" fillId="0" borderId="0" xfId="38" applyFont="1"/>
    <xf numFmtId="0" fontId="12" fillId="0" borderId="0" xfId="36" applyAlignment="1">
      <alignment horizontal="center"/>
    </xf>
    <xf numFmtId="0" fontId="12" fillId="0" borderId="6" xfId="36" applyBorder="1"/>
    <xf numFmtId="0" fontId="47" fillId="0" borderId="0" xfId="36" applyFont="1" applyAlignment="1">
      <alignment horizontal="center"/>
    </xf>
    <xf numFmtId="4" fontId="15" fillId="0" borderId="15" xfId="7" applyNumberFormat="1" applyFont="1" applyBorder="1"/>
    <xf numFmtId="4" fontId="15" fillId="0" borderId="15" xfId="7" applyNumberFormat="1" applyFont="1" applyBorder="1" applyAlignment="1">
      <alignment horizontal="right"/>
    </xf>
    <xf numFmtId="4" fontId="22" fillId="0" borderId="30" xfId="7" applyNumberFormat="1" applyFont="1" applyBorder="1" applyAlignment="1">
      <alignment horizontal="right" vertical="center"/>
    </xf>
    <xf numFmtId="4" fontId="22" fillId="0" borderId="77" xfId="7" applyNumberFormat="1" applyFont="1" applyBorder="1" applyAlignment="1">
      <alignment horizontal="right" vertical="center"/>
    </xf>
    <xf numFmtId="4" fontId="15" fillId="0" borderId="15" xfId="7" applyNumberFormat="1" applyFont="1" applyBorder="1" applyAlignment="1">
      <alignment vertical="center"/>
    </xf>
    <xf numFmtId="0" fontId="21" fillId="3" borderId="54" xfId="0" applyFont="1" applyFill="1" applyBorder="1" applyAlignment="1">
      <alignment horizontal="center" vertical="center" wrapText="1"/>
    </xf>
    <xf numFmtId="43" fontId="15" fillId="0" borderId="15" xfId="7" applyFont="1" applyBorder="1" applyAlignment="1">
      <alignment vertical="center"/>
    </xf>
    <xf numFmtId="10" fontId="21" fillId="3" borderId="15" xfId="0" applyNumberFormat="1" applyFont="1" applyFill="1" applyBorder="1" applyAlignment="1">
      <alignment horizontal="center" vertical="center" wrapText="1"/>
    </xf>
    <xf numFmtId="49" fontId="115" fillId="0" borderId="15" xfId="25" applyNumberFormat="1" applyFont="1" applyBorder="1" applyAlignment="1">
      <alignment vertical="center" wrapText="1"/>
    </xf>
    <xf numFmtId="9" fontId="20" fillId="0" borderId="0" xfId="0" applyNumberFormat="1" applyFont="1" applyFill="1" applyAlignment="1">
      <alignment horizontal="center"/>
    </xf>
    <xf numFmtId="0" fontId="21" fillId="0" borderId="0" xfId="0" applyFont="1" applyFill="1" applyBorder="1" applyAlignment="1">
      <alignment horizontal="center"/>
    </xf>
    <xf numFmtId="43" fontId="125" fillId="0" borderId="0" xfId="7" applyFont="1"/>
    <xf numFmtId="218" fontId="21" fillId="0" borderId="15" xfId="7" applyNumberFormat="1" applyFont="1" applyFill="1" applyBorder="1" applyAlignment="1">
      <alignment horizontal="center"/>
    </xf>
    <xf numFmtId="9" fontId="20" fillId="0" borderId="0" xfId="48" applyFont="1" applyFill="1" applyAlignment="1">
      <alignment horizontal="center"/>
    </xf>
    <xf numFmtId="43" fontId="103" fillId="0" borderId="10" xfId="7" applyFont="1" applyBorder="1"/>
    <xf numFmtId="43" fontId="20" fillId="0" borderId="10" xfId="7" applyFont="1" applyBorder="1"/>
    <xf numFmtId="43" fontId="102" fillId="0" borderId="10" xfId="7" applyFont="1" applyBorder="1"/>
    <xf numFmtId="43" fontId="102" fillId="0" borderId="53" xfId="7" applyFont="1" applyBorder="1"/>
    <xf numFmtId="218" fontId="21" fillId="0" borderId="71" xfId="7" applyNumberFormat="1" applyFont="1" applyFill="1" applyBorder="1" applyAlignment="1">
      <alignment horizontal="center"/>
    </xf>
    <xf numFmtId="43" fontId="5" fillId="28" borderId="15" xfId="7" applyFont="1" applyFill="1" applyBorder="1"/>
    <xf numFmtId="43" fontId="171" fillId="28" borderId="15" xfId="7" applyFont="1" applyFill="1" applyBorder="1"/>
    <xf numFmtId="43" fontId="0" fillId="0" borderId="15" xfId="7" applyFont="1" applyBorder="1"/>
    <xf numFmtId="43" fontId="21" fillId="0" borderId="15" xfId="7" applyFont="1" applyBorder="1" applyAlignment="1">
      <alignment horizontal="center" vertical="center" wrapText="1"/>
    </xf>
    <xf numFmtId="43" fontId="20" fillId="28" borderId="15" xfId="7" applyFont="1" applyFill="1" applyBorder="1" applyAlignment="1">
      <alignment horizontal="center" vertical="center" wrapText="1"/>
    </xf>
    <xf numFmtId="43" fontId="21" fillId="0" borderId="0" xfId="7" applyFont="1"/>
    <xf numFmtId="43" fontId="131" fillId="0" borderId="0" xfId="7" applyFont="1" applyAlignment="1">
      <alignment horizontal="center"/>
    </xf>
    <xf numFmtId="43" fontId="15" fillId="26" borderId="0" xfId="7" applyFont="1" applyFill="1"/>
    <xf numFmtId="43" fontId="15" fillId="24" borderId="0" xfId="7" applyFont="1" applyFill="1"/>
    <xf numFmtId="43" fontId="115" fillId="6" borderId="0" xfId="18" applyFont="1" applyFill="1"/>
    <xf numFmtId="4" fontId="115" fillId="6" borderId="0" xfId="46" applyNumberFormat="1" applyFont="1" applyFill="1"/>
    <xf numFmtId="43" fontId="150" fillId="0" borderId="61" xfId="44" applyNumberFormat="1" applyFont="1" applyBorder="1" applyAlignment="1">
      <alignment horizontal="left"/>
    </xf>
    <xf numFmtId="0" fontId="150" fillId="0" borderId="61" xfId="44" applyFont="1" applyBorder="1" applyAlignment="1">
      <alignment horizontal="left"/>
    </xf>
    <xf numFmtId="43" fontId="150" fillId="0" borderId="61" xfId="44" applyNumberFormat="1" applyFont="1" applyBorder="1" applyAlignment="1">
      <alignment horizontal="right"/>
    </xf>
    <xf numFmtId="0" fontId="172" fillId="0" borderId="0" xfId="46" applyFont="1"/>
    <xf numFmtId="0" fontId="125" fillId="0" borderId="61" xfId="44" applyFont="1" applyBorder="1" applyAlignment="1">
      <alignment horizontal="center"/>
    </xf>
    <xf numFmtId="0" fontId="150" fillId="0" borderId="0" xfId="38" applyFont="1" applyBorder="1"/>
    <xf numFmtId="0" fontId="150" fillId="0" borderId="0" xfId="38" applyFont="1"/>
    <xf numFmtId="0" fontId="150" fillId="0" borderId="61" xfId="38" applyFont="1" applyBorder="1" applyAlignment="1">
      <alignment horizontal="center"/>
    </xf>
    <xf numFmtId="43" fontId="150" fillId="0" borderId="61" xfId="25" applyNumberFormat="1" applyFont="1" applyBorder="1"/>
    <xf numFmtId="43" fontId="150" fillId="0" borderId="61" xfId="25" applyNumberFormat="1" applyFont="1" applyBorder="1" applyAlignment="1">
      <alignment horizontal="right"/>
    </xf>
    <xf numFmtId="0" fontId="184" fillId="21" borderId="0" xfId="0" applyFont="1" applyFill="1" applyAlignment="1">
      <alignment horizontal="center"/>
    </xf>
    <xf numFmtId="0" fontId="149" fillId="21" borderId="0" xfId="24" applyFont="1" applyFill="1" applyAlignment="1">
      <alignment horizontal="right"/>
    </xf>
    <xf numFmtId="0" fontId="18" fillId="0" borderId="0" xfId="39" applyFont="1" applyFill="1" applyAlignment="1">
      <alignment horizontal="center" vertical="top"/>
    </xf>
    <xf numFmtId="0" fontId="104" fillId="0" borderId="0" xfId="0" applyFont="1" applyAlignment="1">
      <alignment horizontal="center"/>
    </xf>
    <xf numFmtId="0" fontId="38" fillId="0" borderId="0" xfId="0" applyFont="1" applyAlignment="1">
      <alignment horizontal="center"/>
    </xf>
    <xf numFmtId="43" fontId="56" fillId="4" borderId="46" xfId="7" applyFont="1" applyFill="1" applyBorder="1" applyAlignment="1">
      <alignment horizontal="center" vertical="center"/>
    </xf>
    <xf numFmtId="43" fontId="56" fillId="4" borderId="58" xfId="7" applyFont="1" applyFill="1" applyBorder="1" applyAlignment="1">
      <alignment horizontal="center" vertical="center"/>
    </xf>
    <xf numFmtId="43" fontId="2" fillId="21" borderId="6" xfId="7" applyFont="1" applyFill="1" applyBorder="1" applyAlignment="1">
      <alignment horizontal="center"/>
    </xf>
    <xf numFmtId="0" fontId="18" fillId="0" borderId="0" xfId="0" applyFont="1" applyAlignment="1">
      <alignment horizontal="center"/>
    </xf>
    <xf numFmtId="0" fontId="55" fillId="2" borderId="57" xfId="0" applyFont="1" applyFill="1" applyBorder="1" applyAlignment="1">
      <alignment horizontal="center" vertical="center"/>
    </xf>
    <xf numFmtId="0" fontId="55" fillId="2" borderId="58" xfId="0" applyFont="1" applyFill="1" applyBorder="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20" fillId="0" borderId="10" xfId="0" applyFont="1" applyBorder="1" applyAlignment="1">
      <alignment vertical="center" wrapText="1"/>
    </xf>
    <xf numFmtId="0" fontId="20" fillId="0" borderId="84" xfId="0" applyFont="1" applyBorder="1" applyAlignment="1">
      <alignment horizontal="left" vertical="center" wrapText="1"/>
    </xf>
    <xf numFmtId="0" fontId="20" fillId="0" borderId="10" xfId="0" applyFont="1" applyBorder="1" applyAlignment="1">
      <alignment vertical="top" wrapText="1"/>
    </xf>
    <xf numFmtId="2" fontId="11" fillId="0" borderId="17" xfId="0" applyNumberFormat="1" applyFont="1" applyFill="1" applyBorder="1" applyAlignment="1">
      <alignment horizontal="center"/>
    </xf>
    <xf numFmtId="2" fontId="18" fillId="0" borderId="0" xfId="0" applyNumberFormat="1" applyFont="1" applyFill="1" applyAlignment="1">
      <alignment horizontal="center"/>
    </xf>
    <xf numFmtId="0" fontId="20" fillId="0" borderId="10" xfId="0" applyFont="1" applyFill="1" applyBorder="1" applyAlignment="1">
      <alignment vertical="top" wrapText="1"/>
    </xf>
    <xf numFmtId="0" fontId="21" fillId="3" borderId="47" xfId="0" applyFont="1" applyFill="1" applyBorder="1" applyAlignment="1">
      <alignment horizontal="center" vertical="center" wrapText="1"/>
    </xf>
    <xf numFmtId="0" fontId="21" fillId="3" borderId="108" xfId="0" applyFont="1" applyFill="1" applyBorder="1" applyAlignment="1">
      <alignment horizontal="center" vertical="center" wrapText="1"/>
    </xf>
    <xf numFmtId="4" fontId="21" fillId="3" borderId="29" xfId="0" applyNumberFormat="1" applyFont="1" applyFill="1" applyBorder="1" applyAlignment="1">
      <alignment horizontal="center" vertical="center" wrapText="1"/>
    </xf>
    <xf numFmtId="4" fontId="21" fillId="3" borderId="30" xfId="0" applyNumberFormat="1" applyFont="1" applyFill="1" applyBorder="1" applyAlignment="1">
      <alignment horizontal="center" vertical="center" wrapText="1"/>
    </xf>
    <xf numFmtId="0" fontId="21" fillId="3" borderId="109" xfId="0" applyFont="1" applyFill="1" applyBorder="1" applyAlignment="1">
      <alignment horizontal="center" vertical="center" wrapText="1"/>
    </xf>
    <xf numFmtId="0" fontId="21" fillId="3" borderId="110" xfId="0" applyFont="1" applyFill="1" applyBorder="1" applyAlignment="1">
      <alignment horizontal="center" vertical="center" wrapText="1"/>
    </xf>
    <xf numFmtId="0" fontId="21" fillId="3" borderId="111" xfId="0" applyFont="1" applyFill="1" applyBorder="1" applyAlignment="1">
      <alignment horizontal="center" vertical="center" wrapText="1"/>
    </xf>
    <xf numFmtId="0" fontId="20" fillId="0" borderId="0" xfId="0" applyFont="1" applyAlignment="1">
      <alignment horizontal="center"/>
    </xf>
    <xf numFmtId="4" fontId="69" fillId="0" borderId="0" xfId="0" applyNumberFormat="1" applyFont="1" applyAlignment="1">
      <alignment horizontal="center"/>
    </xf>
    <xf numFmtId="0" fontId="5" fillId="0" borderId="0" xfId="0" applyFont="1" applyAlignment="1">
      <alignment horizontal="center" vertical="top"/>
    </xf>
    <xf numFmtId="0" fontId="80" fillId="0" borderId="0" xfId="0" applyFont="1" applyFill="1" applyBorder="1" applyAlignment="1">
      <alignment horizontal="justify" vertical="top"/>
    </xf>
    <xf numFmtId="4" fontId="80" fillId="0" borderId="0" xfId="0" applyNumberFormat="1" applyFont="1" applyAlignment="1">
      <alignment horizontal="center"/>
    </xf>
    <xf numFmtId="0" fontId="115" fillId="0" borderId="0" xfId="31" applyFont="1" applyAlignment="1">
      <alignment horizontal="center"/>
    </xf>
    <xf numFmtId="0" fontId="115" fillId="0" borderId="0" xfId="38" applyFont="1" applyAlignment="1">
      <alignment horizontal="center"/>
    </xf>
    <xf numFmtId="0" fontId="47" fillId="3" borderId="18" xfId="34" applyFont="1" applyFill="1" applyBorder="1" applyAlignment="1" applyProtection="1">
      <alignment horizontal="center" vertical="justify"/>
    </xf>
    <xf numFmtId="0" fontId="47" fillId="3" borderId="35" xfId="34" applyFont="1" applyFill="1" applyBorder="1" applyAlignment="1" applyProtection="1">
      <alignment horizontal="center" vertical="justify"/>
    </xf>
    <xf numFmtId="0" fontId="12" fillId="0" borderId="0" xfId="34" applyFont="1" applyFill="1" applyBorder="1" applyAlignment="1" applyProtection="1">
      <alignment horizontal="center" vertical="top" wrapText="1"/>
    </xf>
    <xf numFmtId="0" fontId="112" fillId="0" borderId="0" xfId="31" applyFont="1" applyAlignment="1">
      <alignment horizontal="center"/>
    </xf>
    <xf numFmtId="181" fontId="112" fillId="0" borderId="0" xfId="38" applyNumberFormat="1" applyFont="1" applyBorder="1" applyAlignment="1">
      <alignment horizontal="center"/>
    </xf>
    <xf numFmtId="0" fontId="47" fillId="3" borderId="18" xfId="34" applyFont="1" applyFill="1" applyBorder="1" applyAlignment="1" applyProtection="1">
      <alignment horizontal="center" vertical="center" wrapText="1"/>
    </xf>
    <xf numFmtId="0" fontId="0" fillId="0" borderId="35" xfId="0" applyBorder="1" applyAlignment="1">
      <alignment vertical="center" wrapText="1"/>
    </xf>
    <xf numFmtId="0" fontId="47" fillId="3" borderId="79" xfId="34" applyFont="1" applyFill="1" applyBorder="1" applyAlignment="1" applyProtection="1">
      <alignment horizontal="center" vertical="justify"/>
    </xf>
    <xf numFmtId="0" fontId="94" fillId="9" borderId="18" xfId="34" applyFont="1" applyFill="1" applyBorder="1" applyAlignment="1" applyProtection="1">
      <alignment horizontal="center" textRotation="90"/>
    </xf>
    <xf numFmtId="0" fontId="94" fillId="9" borderId="35" xfId="34" applyFont="1" applyFill="1" applyBorder="1" applyAlignment="1" applyProtection="1">
      <alignment horizontal="center" textRotation="90"/>
    </xf>
    <xf numFmtId="0" fontId="47" fillId="3" borderId="18" xfId="34" applyFont="1" applyFill="1" applyBorder="1" applyAlignment="1" applyProtection="1">
      <alignment horizontal="center" vertical="center"/>
    </xf>
    <xf numFmtId="0" fontId="47" fillId="3" borderId="35" xfId="34" applyFont="1" applyFill="1" applyBorder="1" applyAlignment="1" applyProtection="1">
      <alignment horizontal="center" vertical="center"/>
    </xf>
    <xf numFmtId="0" fontId="47" fillId="3" borderId="18" xfId="34" applyFont="1" applyFill="1" applyBorder="1" applyAlignment="1" applyProtection="1">
      <alignment horizontal="justify" vertical="center"/>
    </xf>
    <xf numFmtId="0" fontId="47" fillId="3" borderId="35" xfId="34" applyFont="1" applyFill="1" applyBorder="1" applyAlignment="1" applyProtection="1">
      <alignment horizontal="justify" vertical="center"/>
    </xf>
    <xf numFmtId="0" fontId="55" fillId="0" borderId="17" xfId="34" applyFont="1" applyBorder="1" applyAlignment="1">
      <alignment horizontal="center"/>
    </xf>
    <xf numFmtId="0" fontId="79" fillId="0" borderId="0" xfId="34" applyFont="1" applyAlignment="1" applyProtection="1">
      <alignment horizontal="center"/>
    </xf>
    <xf numFmtId="0" fontId="47" fillId="9" borderId="54" xfId="34" applyFont="1" applyFill="1" applyBorder="1" applyAlignment="1" applyProtection="1">
      <alignment horizontal="center"/>
    </xf>
    <xf numFmtId="0" fontId="47" fillId="9" borderId="112" xfId="34" applyFont="1" applyFill="1" applyBorder="1" applyAlignment="1" applyProtection="1">
      <alignment horizontal="center"/>
    </xf>
    <xf numFmtId="0" fontId="47" fillId="9" borderId="113" xfId="34" applyFont="1" applyFill="1" applyBorder="1" applyAlignment="1" applyProtection="1">
      <alignment horizontal="center"/>
    </xf>
    <xf numFmtId="0" fontId="47" fillId="9" borderId="114" xfId="34" applyFont="1" applyFill="1" applyBorder="1" applyAlignment="1" applyProtection="1">
      <alignment horizontal="center"/>
    </xf>
    <xf numFmtId="2" fontId="10" fillId="0" borderId="0" xfId="38" applyNumberFormat="1" applyFont="1" applyBorder="1" applyAlignment="1">
      <alignment horizontal="center"/>
    </xf>
    <xf numFmtId="49" fontId="10" fillId="0" borderId="0" xfId="41" applyNumberFormat="1" applyFont="1" applyAlignment="1">
      <alignment horizontal="center" vertical="top"/>
    </xf>
    <xf numFmtId="0" fontId="10" fillId="0" borderId="0" xfId="38" applyFont="1" applyAlignment="1">
      <alignment horizontal="center"/>
    </xf>
    <xf numFmtId="0" fontId="10" fillId="0" borderId="61" xfId="38" applyFont="1" applyBorder="1" applyAlignment="1">
      <alignment horizontal="center"/>
    </xf>
    <xf numFmtId="0" fontId="21" fillId="0" borderId="57" xfId="0" applyFont="1" applyFill="1" applyBorder="1" applyAlignment="1" applyProtection="1">
      <alignment horizontal="center" vertical="center"/>
    </xf>
    <xf numFmtId="0" fontId="21" fillId="0" borderId="58" xfId="0" applyFont="1" applyFill="1" applyBorder="1" applyAlignment="1" applyProtection="1">
      <alignment horizontal="center" vertical="center"/>
    </xf>
    <xf numFmtId="0" fontId="11" fillId="4" borderId="57" xfId="0" applyFont="1" applyFill="1" applyBorder="1" applyAlignment="1" applyProtection="1">
      <alignment horizontal="center"/>
    </xf>
    <xf numFmtId="0" fontId="11" fillId="4" borderId="79" xfId="0" applyFont="1" applyFill="1" applyBorder="1" applyAlignment="1" applyProtection="1">
      <alignment horizontal="center"/>
    </xf>
    <xf numFmtId="0" fontId="11" fillId="4" borderId="11" xfId="0" applyFont="1" applyFill="1" applyBorder="1" applyAlignment="1" applyProtection="1">
      <alignment horizontal="center"/>
    </xf>
    <xf numFmtId="0" fontId="22" fillId="3" borderId="29" xfId="0" applyFont="1" applyFill="1" applyBorder="1" applyAlignment="1" applyProtection="1">
      <alignment horizontal="center" vertical="center"/>
    </xf>
    <xf numFmtId="0" fontId="22" fillId="3" borderId="30" xfId="0" applyFont="1" applyFill="1" applyBorder="1" applyAlignment="1" applyProtection="1">
      <alignment horizontal="center" vertical="center"/>
    </xf>
    <xf numFmtId="0" fontId="22" fillId="3" borderId="29" xfId="0" applyFont="1" applyFill="1" applyBorder="1" applyAlignment="1" applyProtection="1">
      <alignment horizontal="center" vertical="center" wrapText="1"/>
    </xf>
    <xf numFmtId="0" fontId="22" fillId="3" borderId="30" xfId="0" applyFont="1" applyFill="1" applyBorder="1" applyAlignment="1" applyProtection="1">
      <alignment horizontal="center" vertical="center" wrapText="1"/>
    </xf>
    <xf numFmtId="0" fontId="22" fillId="3" borderId="48" xfId="0" applyFont="1" applyFill="1" applyBorder="1" applyAlignment="1" applyProtection="1">
      <alignment horizontal="center" vertical="center" wrapText="1"/>
    </xf>
    <xf numFmtId="0" fontId="22" fillId="3" borderId="115" xfId="0" applyFont="1" applyFill="1" applyBorder="1" applyAlignment="1" applyProtection="1">
      <alignment horizontal="center" vertical="center"/>
    </xf>
    <xf numFmtId="49" fontId="20" fillId="14" borderId="87" xfId="40" applyNumberFormat="1" applyFont="1" applyFill="1" applyBorder="1" applyAlignment="1">
      <alignment horizontal="center"/>
    </xf>
    <xf numFmtId="49" fontId="20" fillId="14" borderId="86" xfId="40" applyNumberFormat="1" applyFont="1" applyFill="1" applyBorder="1" applyAlignment="1">
      <alignment horizontal="center"/>
    </xf>
    <xf numFmtId="0" fontId="5" fillId="0" borderId="0" xfId="0" applyFont="1" applyAlignment="1">
      <alignment horizontal="center"/>
    </xf>
    <xf numFmtId="43" fontId="22" fillId="4" borderId="18" xfId="7" applyFont="1" applyFill="1" applyBorder="1" applyAlignment="1">
      <alignment horizontal="center" vertical="center" wrapText="1"/>
    </xf>
    <xf numFmtId="43" fontId="22" fillId="4" borderId="35" xfId="7" applyFont="1" applyFill="1" applyBorder="1" applyAlignment="1">
      <alignment horizontal="center" vertical="center" wrapText="1"/>
    </xf>
    <xf numFmtId="49" fontId="2" fillId="0" borderId="61" xfId="40" applyNumberFormat="1" applyFont="1" applyBorder="1" applyAlignment="1">
      <alignment horizontal="center"/>
    </xf>
    <xf numFmtId="4" fontId="140" fillId="0" borderId="0" xfId="0" applyNumberFormat="1" applyFont="1" applyAlignment="1">
      <alignment horizontal="center"/>
    </xf>
    <xf numFmtId="49" fontId="15" fillId="0" borderId="0" xfId="40" applyNumberFormat="1" applyFont="1" applyAlignment="1">
      <alignment horizontal="justify" vertical="justify"/>
    </xf>
    <xf numFmtId="49" fontId="15" fillId="0" borderId="0" xfId="40" applyNumberFormat="1" applyFont="1" applyAlignment="1">
      <alignment vertical="top"/>
    </xf>
    <xf numFmtId="49" fontId="15" fillId="0" borderId="0" xfId="40" applyNumberFormat="1" applyFont="1" applyAlignment="1">
      <alignment wrapText="1"/>
    </xf>
    <xf numFmtId="49" fontId="20" fillId="14" borderId="87" xfId="40" applyNumberFormat="1" applyFont="1" applyFill="1" applyBorder="1" applyAlignment="1">
      <alignment horizontal="center" vertical="center"/>
    </xf>
    <xf numFmtId="49" fontId="20" fillId="14" borderId="86" xfId="40" applyNumberFormat="1" applyFont="1" applyFill="1" applyBorder="1" applyAlignment="1">
      <alignment horizontal="center" vertical="center"/>
    </xf>
    <xf numFmtId="49" fontId="11" fillId="0" borderId="0" xfId="40" applyNumberFormat="1" applyFont="1" applyAlignment="1">
      <alignment horizontal="center" vertical="top"/>
    </xf>
    <xf numFmtId="49" fontId="18" fillId="0" borderId="0" xfId="40" applyNumberFormat="1" applyFont="1" applyAlignment="1">
      <alignment horizontal="center" vertical="top"/>
    </xf>
    <xf numFmtId="0" fontId="21" fillId="5" borderId="24" xfId="36" applyFont="1" applyFill="1" applyBorder="1" applyAlignment="1">
      <alignment horizontal="center" vertical="center" wrapText="1"/>
    </xf>
    <xf numFmtId="0" fontId="21" fillId="5" borderId="25" xfId="36" applyFont="1" applyFill="1" applyBorder="1" applyAlignment="1">
      <alignment horizontal="center" vertical="center"/>
    </xf>
    <xf numFmtId="0" fontId="2" fillId="0" borderId="61" xfId="36" applyFont="1" applyBorder="1" applyAlignment="1">
      <alignment horizontal="center"/>
    </xf>
    <xf numFmtId="0" fontId="18" fillId="0" borderId="0" xfId="0" applyNumberFormat="1" applyFont="1" applyAlignment="1">
      <alignment horizontal="center"/>
    </xf>
    <xf numFmtId="0" fontId="20" fillId="0" borderId="0" xfId="36" applyFont="1" applyAlignment="1">
      <alignment horizontal="left" wrapText="1" indent="2"/>
    </xf>
    <xf numFmtId="0" fontId="8" fillId="0" borderId="0" xfId="0" applyNumberFormat="1" applyFont="1" applyAlignment="1">
      <alignment horizontal="center"/>
    </xf>
    <xf numFmtId="0" fontId="5" fillId="0" borderId="0" xfId="31" applyFont="1" applyAlignment="1">
      <alignment horizontal="center"/>
    </xf>
    <xf numFmtId="49" fontId="10" fillId="0" borderId="0" xfId="40" applyNumberFormat="1" applyFont="1" applyAlignment="1">
      <alignment horizontal="center" vertical="top"/>
    </xf>
    <xf numFmtId="0" fontId="18" fillId="0" borderId="0" xfId="44" applyFont="1" applyAlignment="1">
      <alignment horizontal="center"/>
    </xf>
    <xf numFmtId="43" fontId="22" fillId="13" borderId="12" xfId="17" applyFont="1" applyFill="1" applyBorder="1" applyAlignment="1">
      <alignment horizontal="center" vertical="center"/>
    </xf>
    <xf numFmtId="43" fontId="22" fillId="13" borderId="67" xfId="17" applyFont="1" applyFill="1" applyBorder="1" applyAlignment="1">
      <alignment horizontal="center" vertical="center"/>
    </xf>
    <xf numFmtId="43" fontId="22" fillId="13" borderId="13" xfId="17" applyFont="1" applyFill="1" applyBorder="1" applyAlignment="1">
      <alignment horizontal="center" vertical="center"/>
    </xf>
    <xf numFmtId="43" fontId="22" fillId="13" borderId="68" xfId="17" applyFont="1" applyFill="1" applyBorder="1" applyAlignment="1">
      <alignment horizontal="center" vertical="center"/>
    </xf>
    <xf numFmtId="43" fontId="29" fillId="9" borderId="0" xfId="17" applyFont="1" applyFill="1" applyAlignment="1">
      <alignment horizontal="center" vertical="center" wrapText="1"/>
    </xf>
    <xf numFmtId="0" fontId="112" fillId="0" borderId="0" xfId="24" applyFont="1" applyAlignment="1">
      <alignment horizontal="center"/>
    </xf>
    <xf numFmtId="0" fontId="20" fillId="0" borderId="0" xfId="0" applyFont="1" applyAlignment="1">
      <alignment horizontal="left" indent="17"/>
    </xf>
    <xf numFmtId="4" fontId="40" fillId="0" borderId="0" xfId="0" applyNumberFormat="1" applyFont="1" applyAlignment="1">
      <alignment horizontal="center"/>
    </xf>
    <xf numFmtId="0" fontId="21" fillId="3" borderId="15" xfId="0" applyFont="1" applyFill="1" applyBorder="1" applyAlignment="1">
      <alignment horizontal="center" vertical="center" wrapText="1"/>
    </xf>
    <xf numFmtId="0" fontId="22" fillId="3" borderId="15" xfId="0" applyFont="1" applyFill="1" applyBorder="1" applyAlignment="1">
      <alignment horizontal="center"/>
    </xf>
    <xf numFmtId="0" fontId="18" fillId="0" borderId="0" xfId="43" applyFont="1" applyAlignment="1">
      <alignment horizontal="center"/>
    </xf>
    <xf numFmtId="0" fontId="11" fillId="2" borderId="12" xfId="0" applyFont="1" applyFill="1" applyBorder="1" applyAlignment="1">
      <alignment horizontal="center"/>
    </xf>
    <xf numFmtId="0" fontId="11" fillId="2" borderId="17" xfId="0" applyFont="1" applyFill="1" applyBorder="1" applyAlignment="1">
      <alignment horizontal="center"/>
    </xf>
    <xf numFmtId="0" fontId="11" fillId="2" borderId="67" xfId="0" applyFont="1" applyFill="1" applyBorder="1" applyAlignment="1">
      <alignment horizontal="center"/>
    </xf>
    <xf numFmtId="0" fontId="21" fillId="3" borderId="15" xfId="0" applyFont="1" applyFill="1" applyBorder="1" applyAlignment="1">
      <alignment horizontal="center" vertical="center"/>
    </xf>
    <xf numFmtId="0" fontId="11" fillId="0" borderId="0" xfId="0" applyFont="1" applyAlignment="1">
      <alignment horizontal="center" vertical="justify"/>
    </xf>
    <xf numFmtId="0" fontId="9" fillId="0" borderId="0" xfId="45" applyFont="1" applyAlignment="1">
      <alignment horizontal="center" vertical="justify"/>
    </xf>
    <xf numFmtId="0" fontId="104" fillId="0" borderId="0" xfId="29" applyFont="1" applyAlignment="1">
      <alignment horizontal="center" vertical="justify"/>
    </xf>
    <xf numFmtId="0" fontId="38" fillId="0" borderId="0" xfId="29" applyFont="1" applyAlignment="1">
      <alignment horizontal="center"/>
    </xf>
    <xf numFmtId="4" fontId="143" fillId="0" borderId="0" xfId="45" applyNumberFormat="1" applyFont="1" applyAlignment="1">
      <alignment horizontal="center"/>
    </xf>
    <xf numFmtId="0" fontId="2" fillId="0" borderId="69" xfId="30" applyFont="1" applyBorder="1" applyAlignment="1">
      <alignment horizontal="center" vertical="center"/>
    </xf>
    <xf numFmtId="0" fontId="2" fillId="0" borderId="70" xfId="30" applyFont="1" applyBorder="1" applyAlignment="1">
      <alignment horizontal="center" vertical="center"/>
    </xf>
    <xf numFmtId="0" fontId="2" fillId="0" borderId="71" xfId="30" applyFont="1" applyBorder="1" applyAlignment="1">
      <alignment horizontal="center" vertical="center"/>
    </xf>
    <xf numFmtId="0" fontId="2" fillId="0" borderId="0" xfId="0" applyFont="1" applyAlignment="1">
      <alignment horizontal="center"/>
    </xf>
    <xf numFmtId="0" fontId="21" fillId="4" borderId="69" xfId="0" applyFont="1" applyFill="1" applyBorder="1" applyAlignment="1">
      <alignment horizontal="center" vertical="center" wrapText="1"/>
    </xf>
    <xf numFmtId="0" fontId="21" fillId="4" borderId="71" xfId="0" applyFont="1" applyFill="1" applyBorder="1" applyAlignment="1">
      <alignment horizontal="center" vertical="center" wrapText="1"/>
    </xf>
    <xf numFmtId="0" fontId="10" fillId="0" borderId="0" xfId="25" applyFont="1" applyAlignment="1">
      <alignment horizontal="center" vertical="justify"/>
    </xf>
    <xf numFmtId="0" fontId="18" fillId="0" borderId="0" xfId="25" applyFont="1" applyAlignment="1">
      <alignment horizontal="center"/>
    </xf>
    <xf numFmtId="0" fontId="2" fillId="0" borderId="0" xfId="25" applyFont="1" applyAlignment="1">
      <alignment horizontal="center"/>
    </xf>
    <xf numFmtId="4" fontId="35" fillId="0" borderId="0" xfId="0" applyNumberFormat="1" applyFont="1" applyAlignment="1">
      <alignment horizontal="center"/>
    </xf>
    <xf numFmtId="49" fontId="153" fillId="0" borderId="0" xfId="41" applyNumberFormat="1" applyFont="1" applyAlignment="1">
      <alignment horizontal="center" vertical="top"/>
    </xf>
    <xf numFmtId="49" fontId="154" fillId="0" borderId="0" xfId="41" applyNumberFormat="1" applyFont="1" applyAlignment="1">
      <alignment horizontal="center" vertical="top"/>
    </xf>
    <xf numFmtId="0" fontId="154" fillId="0" borderId="0" xfId="46" applyFont="1" applyAlignment="1">
      <alignment horizontal="center"/>
    </xf>
    <xf numFmtId="0" fontId="116" fillId="0" borderId="69" xfId="46" applyFont="1" applyBorder="1" applyAlignment="1">
      <alignment horizontal="center"/>
    </xf>
    <xf numFmtId="0" fontId="116" fillId="0" borderId="71" xfId="46" applyFont="1" applyBorder="1" applyAlignment="1">
      <alignment horizontal="center"/>
    </xf>
    <xf numFmtId="0" fontId="155" fillId="0" borderId="69" xfId="46" applyFont="1" applyBorder="1" applyAlignment="1">
      <alignment horizontal="center"/>
    </xf>
    <xf numFmtId="0" fontId="155" fillId="0" borderId="70" xfId="46" applyFont="1" applyBorder="1" applyAlignment="1">
      <alignment horizontal="center"/>
    </xf>
    <xf numFmtId="0" fontId="155" fillId="0" borderId="71" xfId="46" applyFont="1" applyBorder="1" applyAlignment="1">
      <alignment horizontal="center"/>
    </xf>
    <xf numFmtId="0" fontId="115" fillId="0" borderId="44" xfId="46" applyFont="1" applyBorder="1" applyAlignment="1">
      <alignment horizontal="left" indent="2"/>
    </xf>
    <xf numFmtId="0" fontId="115" fillId="0" borderId="6" xfId="46" applyFont="1" applyBorder="1" applyAlignment="1">
      <alignment horizontal="left" indent="2"/>
    </xf>
    <xf numFmtId="0" fontId="115" fillId="0" borderId="5" xfId="46" applyFont="1" applyBorder="1" applyAlignment="1">
      <alignment horizontal="left" indent="2"/>
    </xf>
    <xf numFmtId="2" fontId="154" fillId="0" borderId="0" xfId="46" applyNumberFormat="1" applyFont="1" applyAlignment="1">
      <alignment horizontal="center"/>
    </xf>
    <xf numFmtId="0" fontId="155" fillId="0" borderId="70" xfId="32" applyFont="1" applyBorder="1" applyAlignment="1">
      <alignment horizontal="center" vertical="center"/>
    </xf>
    <xf numFmtId="0" fontId="155" fillId="0" borderId="71" xfId="32" applyFont="1" applyBorder="1" applyAlignment="1">
      <alignment horizontal="center" vertical="center"/>
    </xf>
    <xf numFmtId="0" fontId="116" fillId="0" borderId="69" xfId="46" applyFont="1" applyBorder="1" applyAlignment="1">
      <alignment horizontal="left"/>
    </xf>
    <xf numFmtId="0" fontId="116" fillId="0" borderId="70" xfId="46" applyFont="1" applyBorder="1" applyAlignment="1">
      <alignment horizontal="left"/>
    </xf>
    <xf numFmtId="0" fontId="116" fillId="0" borderId="71" xfId="46" applyFont="1" applyBorder="1" applyAlignment="1">
      <alignment horizontal="left"/>
    </xf>
    <xf numFmtId="0" fontId="115" fillId="0" borderId="69" xfId="46" applyFont="1" applyBorder="1" applyAlignment="1">
      <alignment horizontal="left"/>
    </xf>
    <xf numFmtId="0" fontId="115" fillId="0" borderId="70" xfId="46" applyFont="1" applyBorder="1" applyAlignment="1">
      <alignment horizontal="left"/>
    </xf>
    <xf numFmtId="0" fontId="115" fillId="0" borderId="71" xfId="46" applyFont="1" applyBorder="1" applyAlignment="1">
      <alignment horizontal="left"/>
    </xf>
    <xf numFmtId="0" fontId="116" fillId="0" borderId="72" xfId="46" applyFont="1" applyBorder="1" applyAlignment="1">
      <alignment horizontal="left"/>
    </xf>
    <xf numFmtId="0" fontId="116" fillId="0" borderId="73" xfId="46" applyFont="1" applyBorder="1" applyAlignment="1">
      <alignment horizontal="left"/>
    </xf>
    <xf numFmtId="0" fontId="116" fillId="0" borderId="74" xfId="46" applyFont="1" applyBorder="1" applyAlignment="1">
      <alignment horizontal="left"/>
    </xf>
    <xf numFmtId="49" fontId="160" fillId="0" borderId="0" xfId="41" applyNumberFormat="1" applyFont="1" applyAlignment="1">
      <alignment horizontal="center" vertical="top"/>
    </xf>
    <xf numFmtId="0" fontId="161" fillId="0" borderId="0" xfId="42" applyFont="1" applyAlignment="1">
      <alignment horizontal="center"/>
    </xf>
    <xf numFmtId="0" fontId="154" fillId="0" borderId="0" xfId="42" applyFont="1" applyAlignment="1">
      <alignment horizontal="center"/>
    </xf>
  </cellXfs>
  <cellStyles count="50">
    <cellStyle name="Comma" xfId="7" builtinId="3"/>
    <cellStyle name="Dia" xfId="1" xr:uid="{02680969-5FD1-417E-A7B7-5AF5B406F5F1}"/>
    <cellStyle name="Encabez1" xfId="2" xr:uid="{B358A704-1156-4C39-97CC-0A146D9A422F}"/>
    <cellStyle name="Encabez2" xfId="3" xr:uid="{7800658A-9FE4-46B4-A7BF-9D31E13132D2}"/>
    <cellStyle name="Euro" xfId="4" xr:uid="{52F8A775-5E7C-47A4-A1A6-E71466076B47}"/>
    <cellStyle name="Fijo" xfId="5" xr:uid="{9B5CC286-ED89-48DB-BA5F-476830E26A96}"/>
    <cellStyle name="Financiero" xfId="6" xr:uid="{469F2A56-8DA1-422D-A087-8CDE5C7C7A9D}"/>
    <cellStyle name="Millares [0] 2" xfId="8" xr:uid="{EB2ED7A4-BA6C-4142-81D9-B62F20DFAB60}"/>
    <cellStyle name="Millares 10" xfId="9" xr:uid="{2016E08A-D0EC-46D1-BE4B-0BA6FBA3737E}"/>
    <cellStyle name="Millares 2" xfId="10" xr:uid="{CEC6ED82-77A5-4DA3-8CE3-946170257F0A}"/>
    <cellStyle name="Millares 2 2" xfId="11" xr:uid="{CC9BA09A-7C04-426D-AA11-36519DFAB5D6}"/>
    <cellStyle name="Millares 3" xfId="12" xr:uid="{8B52D54B-0DFC-4DB4-9B7E-5B0358076981}"/>
    <cellStyle name="Millares 4" xfId="13" xr:uid="{344EA801-7DAF-4D19-8CFC-F7903579E432}"/>
    <cellStyle name="Millares 5" xfId="14" xr:uid="{BF5CBAEB-AAC5-48A7-B32D-0A172640F97D}"/>
    <cellStyle name="Millares 6" xfId="15" xr:uid="{87AC182C-FB03-4030-AC59-359A471FC792}"/>
    <cellStyle name="Millares 6 2" xfId="16" xr:uid="{B8984BF9-5099-4976-8454-68ACD7D6022A}"/>
    <cellStyle name="Millares 7" xfId="17" xr:uid="{94851E15-D601-454E-BE4F-EF9FEB561DAF}"/>
    <cellStyle name="Millares 7 2" xfId="18" xr:uid="{47ADDCED-1859-42BE-80F1-6DD6A9E01654}"/>
    <cellStyle name="Millares 8" xfId="19" xr:uid="{C4845865-E09A-445C-AF9D-563567090D39}"/>
    <cellStyle name="Millares 9" xfId="20" xr:uid="{B2EFE17F-3360-4983-83B4-4FEDF2C2F700}"/>
    <cellStyle name="Monetario" xfId="21" xr:uid="{8E860660-6838-4887-B6D8-431B8A2A97F7}"/>
    <cellStyle name="Normal" xfId="0" builtinId="0"/>
    <cellStyle name="Normal 2" xfId="22" xr:uid="{973241FE-2EB6-43B0-8F71-AA2B15FCD262}"/>
    <cellStyle name="Normal 2 2" xfId="23" xr:uid="{77F91435-824E-4069-AB29-4048D84408C0}"/>
    <cellStyle name="Normal 3" xfId="24" xr:uid="{5D7D9908-3DF3-46EA-B096-8B2A4A01F26D}"/>
    <cellStyle name="Normal 3 2" xfId="25" xr:uid="{66C63BDC-86DB-496B-B71E-A63CBA65B67D}"/>
    <cellStyle name="Normal 4" xfId="26" xr:uid="{67CA7514-B089-4025-9B60-A9751EC01720}"/>
    <cellStyle name="Normal 5" xfId="27" xr:uid="{76ACB759-AB47-434D-A46D-08F762EC72E3}"/>
    <cellStyle name="Normal_APORTES EN ESPECIE ANI 2007" xfId="28" xr:uid="{9E54C338-78B7-468C-8F6B-A61977F0CCEC}"/>
    <cellStyle name="Normal_APORTES EN ESPECIE ANI 2007_DETALLES PRES. EXT. 2-08" xfId="29" xr:uid="{D9D815F3-AC49-40FD-B621-EAFFA21945DF}"/>
    <cellStyle name="Normal_APORTES EN ESPECIE ANI 2007_DETALLES PRES. EXT. 2-08 2" xfId="30" xr:uid="{2A3A7B46-D2AE-42D3-A9BB-865AD4A371B3}"/>
    <cellStyle name="Normal_Copia de Cuadros para PO-2006" xfId="31" xr:uid="{2DA68887-6155-470C-93C8-54F7C6F24784}"/>
    <cellStyle name="Normal_Copia de Cuadros para PO-2006_MATRICES REMUNERACIONES 20-08-08" xfId="32" xr:uid="{501B411E-7AE9-45DD-B7D2-9871848C8D05}"/>
    <cellStyle name="Normal_Cuadros para PO-2006" xfId="33" xr:uid="{52D26D7E-E6E4-46B5-A88D-93E419629CE6}"/>
    <cellStyle name="Normal_Cuadros para Presupuesto ordinario" xfId="34" xr:uid="{8AE168AB-243F-4B58-8D20-9C8B9FF2746C}"/>
    <cellStyle name="Normal_DETALLE SALARIOS versión 5 del 18-09-07 sin plus_MATRICES REMUNERACIONES 20-08-08" xfId="35" xr:uid="{8896B1FF-E674-40A4-B61B-DCB13AD8AB11}"/>
    <cellStyle name="Normal_DETALLES PRESUPUESTO ORDINARIO" xfId="36" xr:uid="{2C85148A-3C86-49C7-981B-354D3B9A63F2}"/>
    <cellStyle name="Normal_DETALLES PRESUPUESTO ORDINARIO_1" xfId="37" xr:uid="{E1DE0B57-4CFD-407E-8F5B-86E36794627E}"/>
    <cellStyle name="Normal_DETALLES SERVICIOS PERSONALES 2006" xfId="38" xr:uid="{6AC793F6-8144-442A-943C-7481614BB3A8}"/>
    <cellStyle name="Normal_ESTIMACION INGRESOS P.ORDINARIO" xfId="39" xr:uid="{9C3129A4-3EEF-40F2-9C06-70C207F26DDD}"/>
    <cellStyle name="Normal_GUIA PRESUPUESTO ORDINARIO" xfId="40" xr:uid="{87E7AED5-CFAC-4268-947D-32EC198CCBA6}"/>
    <cellStyle name="Normal_GUIA PRESUPUESTO ORDINARIO_MATRICES REMUNERACIONES 20-08-08" xfId="41" xr:uid="{F9A4B50E-1DF1-4F1D-A9CB-9352E7CF30FA}"/>
    <cellStyle name="Normal_PRESUPUESTO EXTRAOR. 4-98_MATRICES REMUNERACIONES 20-08-08" xfId="42" xr:uid="{BD5C1DC0-880F-4534-9E4C-6C60215BC040}"/>
    <cellStyle name="Normal_PRESUPUESTO ORDINARIO" xfId="43" xr:uid="{17F4B91D-44B6-4F42-8816-AE290BC8044A}"/>
    <cellStyle name="Normal_PRESUPUESTO ORDINARIO 2" xfId="44" xr:uid="{2F9C91BE-BDFC-4D6C-B77E-86A73283874E}"/>
    <cellStyle name="Normal_PRESUPUESTO ORDINARIO_DETALLES PRES. EXT. 2-08" xfId="45" xr:uid="{F28945D6-0FE4-4813-AFAC-8DDCCBFAE19D}"/>
    <cellStyle name="Normal_RELA PUESTOS 20-09-06 aprobada concejo _MATRICES REMUNERACIONES 20-08-08" xfId="46" xr:uid="{E986C52E-EE05-4EB8-9A32-47CF806DCC79}"/>
    <cellStyle name="Normal_SOLICITUD DE MOVIMIENTO PRESUPUESTARIO" xfId="47" xr:uid="{67682376-CBF6-48D9-AB86-36188954E404}"/>
    <cellStyle name="Percent" xfId="48" builtinId="5"/>
    <cellStyle name="Porcentual 2" xfId="49" xr:uid="{B4F8116D-5BF0-413E-8780-B2F0E64A8B6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5"/>
      <rgbColor rgb="00ABD5FF"/>
      <rgbColor rgb="00FFCCFF"/>
      <rgbColor rgb="00E8D1FF"/>
      <rgbColor rgb="00FFDDBB"/>
      <rgbColor rgb="003366FF"/>
      <rgbColor rgb="0033CCCC"/>
      <rgbColor rgb="0099CC00"/>
      <rgbColor rgb="00FFE5FF"/>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externalLink" Target="externalLinks/externalLink10.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externalLink" Target="externalLinks/externalLink8.xml"/><Relationship Id="rId45"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externalLink" Target="externalLinks/externalLink11.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image" Target="../media/image2.jpeg"/></Relationships>
</file>

<file path=xl/charts/_rels/chart2.xml.rels><?xml version="1.0" encoding="UTF-8" standalone="yes"?>
<Relationships xmlns="http://schemas.openxmlformats.org/package/2006/relationships"><Relationship Id="rId1" Type="http://schemas.openxmlformats.org/officeDocument/2006/relationships/image" Target="../media/image3.jpeg"/></Relationships>
</file>

<file path=xl/charts/_rels/chart3.xml.rels><?xml version="1.0" encoding="UTF-8" standalone="yes"?>
<Relationships xmlns="http://schemas.openxmlformats.org/package/2006/relationships"><Relationship Id="rId1" Type="http://schemas.openxmlformats.org/officeDocument/2006/relationships/image" Target="../media/image4.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CR"/>
              <a:t>Plazas fijas y especiales</a:t>
            </a:r>
          </a:p>
        </c:rich>
      </c:tx>
      <c:layout>
        <c:manualLayout>
          <c:xMode val="edge"/>
          <c:yMode val="edge"/>
          <c:x val="0.3043486739730053"/>
          <c:y val="4.4554548605952558E-2"/>
        </c:manualLayout>
      </c:layout>
      <c:overlay val="0"/>
      <c:spPr>
        <a:noFill/>
        <a:ln w="25400">
          <a:noFill/>
        </a:ln>
      </c:spPr>
    </c:title>
    <c:autoTitleDeleted val="0"/>
    <c:plotArea>
      <c:layout>
        <c:manualLayout>
          <c:layoutTarget val="inner"/>
          <c:xMode val="edge"/>
          <c:yMode val="edge"/>
          <c:x val="0.10941503015423762"/>
          <c:y val="0.24056603773584906"/>
          <c:w val="0.85750849213902502"/>
          <c:h val="0.49528301886792453"/>
        </c:manualLayout>
      </c:layout>
      <c:barChart>
        <c:barDir val="col"/>
        <c:grouping val="clustered"/>
        <c:varyColors val="0"/>
        <c:ser>
          <c:idx val="0"/>
          <c:order val="0"/>
          <c:spPr>
            <a:gradFill rotWithShape="0">
              <a:gsLst>
                <a:gs pos="0">
                  <a:srgbClr val="474776">
                    <a:gamma/>
                    <a:shade val="46275"/>
                    <a:invGamma/>
                  </a:srgbClr>
                </a:gs>
                <a:gs pos="50000">
                  <a:srgbClr val="9999FF"/>
                </a:gs>
                <a:gs pos="100000">
                  <a:srgbClr val="474776">
                    <a:gamma/>
                    <a:shade val="46275"/>
                    <a:invGamma/>
                  </a:srgbClr>
                </a:gs>
              </a:gsLst>
              <a:lin ang="1890000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('ESTRUC. ORG.'!$A$24:$A$25,'ESTRUC. ORG.'!$A$28)</c:f>
              <c:strCache>
                <c:ptCount val="3"/>
                <c:pt idx="0">
                  <c:v>Plazas en sueldos para cargos fijos</c:v>
                </c:pt>
                <c:pt idx="1">
                  <c:v>Plazas en servicios especiales</c:v>
                </c:pt>
                <c:pt idx="2">
                  <c:v>Total de plazas</c:v>
                </c:pt>
              </c:strCache>
            </c:strRef>
          </c:cat>
          <c:val>
            <c:numRef>
              <c:f>('ESTRUC. ORG.'!$C$24:$C$25,'ESTRUC. ORG.'!$C$28)</c:f>
              <c:numCache>
                <c:formatCode>General</c:formatCode>
                <c:ptCount val="3"/>
                <c:pt idx="0">
                  <c:v>245</c:v>
                </c:pt>
                <c:pt idx="1">
                  <c:v>9</c:v>
                </c:pt>
                <c:pt idx="2">
                  <c:v>254</c:v>
                </c:pt>
              </c:numCache>
            </c:numRef>
          </c:val>
          <c:extLst>
            <c:ext xmlns:c16="http://schemas.microsoft.com/office/drawing/2014/chart" uri="{C3380CC4-5D6E-409C-BE32-E72D297353CC}">
              <c16:uniqueId val="{00000000-E508-4EE4-A11C-A9EFCB9599CC}"/>
            </c:ext>
          </c:extLst>
        </c:ser>
        <c:dLbls>
          <c:showLegendKey val="0"/>
          <c:showVal val="0"/>
          <c:showCatName val="0"/>
          <c:showSerName val="0"/>
          <c:showPercent val="0"/>
          <c:showBubbleSize val="0"/>
        </c:dLbls>
        <c:gapWidth val="150"/>
        <c:axId val="1212424959"/>
        <c:axId val="1"/>
      </c:barChart>
      <c:catAx>
        <c:axId val="121242495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1212424959"/>
        <c:crosses val="autoZero"/>
        <c:crossBetween val="between"/>
      </c:valAx>
      <c:spPr>
        <a:gradFill rotWithShape="0">
          <a:gsLst>
            <a:gs pos="0">
              <a:srgbClr val="5E7676">
                <a:gamma/>
                <a:shade val="46275"/>
                <a:invGamma/>
              </a:srgbClr>
            </a:gs>
            <a:gs pos="50000">
              <a:srgbClr val="CCFFFF"/>
            </a:gs>
            <a:gs pos="100000">
              <a:srgbClr val="5E7676">
                <a:gamma/>
                <a:shade val="46275"/>
                <a:invGamma/>
              </a:srgbClr>
            </a:gs>
          </a:gsLst>
          <a:lin ang="18900000" scaled="1"/>
        </a:gradFill>
        <a:ln w="12700">
          <a:solidFill>
            <a:srgbClr val="808080"/>
          </a:solidFill>
          <a:prstDash val="solid"/>
        </a:ln>
      </c:spPr>
    </c:plotArea>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s-CR"/>
              <a:t>Plazas en procesos sustantivos y de apoyo</a:t>
            </a:r>
          </a:p>
        </c:rich>
      </c:tx>
      <c:layout>
        <c:manualLayout>
          <c:xMode val="edge"/>
          <c:yMode val="edge"/>
          <c:x val="0.13189483772762295"/>
          <c:y val="4.4554455445544552E-2"/>
        </c:manualLayout>
      </c:layout>
      <c:overlay val="0"/>
      <c:spPr>
        <a:noFill/>
        <a:ln w="25400">
          <a:noFill/>
        </a:ln>
      </c:spPr>
    </c:title>
    <c:autoTitleDeleted val="0"/>
    <c:plotArea>
      <c:layout>
        <c:manualLayout>
          <c:layoutTarget val="inner"/>
          <c:xMode val="edge"/>
          <c:yMode val="edge"/>
          <c:x val="0.10311774748423327"/>
          <c:y val="0.23267382975380413"/>
          <c:w val="0.8681075485881965"/>
          <c:h val="0.49010019458780019"/>
        </c:manualLayout>
      </c:layout>
      <c:barChart>
        <c:barDir val="col"/>
        <c:grouping val="clustered"/>
        <c:varyColors val="0"/>
        <c:ser>
          <c:idx val="0"/>
          <c:order val="0"/>
          <c:spPr>
            <a:gradFill rotWithShape="0">
              <a:gsLst>
                <a:gs pos="0">
                  <a:srgbClr val="005E76">
                    <a:gamma/>
                    <a:shade val="46275"/>
                    <a:invGamma/>
                  </a:srgbClr>
                </a:gs>
                <a:gs pos="50000">
                  <a:srgbClr val="00CCFF"/>
                </a:gs>
                <a:gs pos="100000">
                  <a:srgbClr val="005E76">
                    <a:gamma/>
                    <a:shade val="46275"/>
                    <a:invGamma/>
                  </a:srgbClr>
                </a:gs>
              </a:gsLst>
              <a:lin ang="1890000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'ESTRUC. ORG.'!$A$26:$A$28</c:f>
              <c:strCache>
                <c:ptCount val="3"/>
                <c:pt idx="0">
                  <c:v>Plazas en procesos sustantivos</c:v>
                </c:pt>
                <c:pt idx="1">
                  <c:v>Plazas en procesos de apoyo</c:v>
                </c:pt>
                <c:pt idx="2">
                  <c:v>Total de plazas</c:v>
                </c:pt>
              </c:strCache>
            </c:strRef>
          </c:cat>
          <c:val>
            <c:numRef>
              <c:f>'ESTRUC. ORG.'!$C$26:$C$28</c:f>
              <c:numCache>
                <c:formatCode>General</c:formatCode>
                <c:ptCount val="3"/>
                <c:pt idx="0">
                  <c:v>145</c:v>
                </c:pt>
                <c:pt idx="1">
                  <c:v>109</c:v>
                </c:pt>
                <c:pt idx="2">
                  <c:v>254</c:v>
                </c:pt>
              </c:numCache>
            </c:numRef>
          </c:val>
          <c:extLst>
            <c:ext xmlns:c16="http://schemas.microsoft.com/office/drawing/2014/chart" uri="{C3380CC4-5D6E-409C-BE32-E72D297353CC}">
              <c16:uniqueId val="{00000000-2279-4B57-AF33-5E1AB1AC3F23}"/>
            </c:ext>
          </c:extLst>
        </c:ser>
        <c:dLbls>
          <c:showLegendKey val="0"/>
          <c:showVal val="0"/>
          <c:showCatName val="0"/>
          <c:showSerName val="0"/>
          <c:showPercent val="0"/>
          <c:showBubbleSize val="0"/>
        </c:dLbls>
        <c:gapWidth val="150"/>
        <c:axId val="1212436959"/>
        <c:axId val="1"/>
      </c:barChart>
      <c:catAx>
        <c:axId val="121243695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1212436959"/>
        <c:crosses val="autoZero"/>
        <c:crossBetween val="between"/>
      </c:valAx>
      <c:spPr>
        <a:gradFill rotWithShape="0">
          <a:gsLst>
            <a:gs pos="0">
              <a:srgbClr val="767647">
                <a:gamma/>
                <a:shade val="46275"/>
                <a:invGamma/>
              </a:srgbClr>
            </a:gs>
            <a:gs pos="50000">
              <a:srgbClr val="FFFF99"/>
            </a:gs>
            <a:gs pos="100000">
              <a:srgbClr val="767647">
                <a:gamma/>
                <a:shade val="46275"/>
                <a:invGamma/>
              </a:srgbClr>
            </a:gs>
          </a:gsLst>
          <a:lin ang="18900000" scaled="1"/>
        </a:gradFill>
        <a:ln w="12700">
          <a:solidFill>
            <a:srgbClr val="808080"/>
          </a:solidFill>
          <a:prstDash val="solid"/>
        </a:ln>
      </c:spPr>
    </c:plotArea>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s-CR"/>
              <a:t>Plazas según estructura programática</a:t>
            </a:r>
          </a:p>
        </c:rich>
      </c:tx>
      <c:layout>
        <c:manualLayout>
          <c:xMode val="edge"/>
          <c:yMode val="edge"/>
          <c:x val="0.21412839489484414"/>
          <c:y val="4.1860422469025431E-2"/>
        </c:manualLayout>
      </c:layout>
      <c:overlay val="0"/>
      <c:spPr>
        <a:noFill/>
        <a:ln w="25400">
          <a:noFill/>
        </a:ln>
      </c:spPr>
    </c:title>
    <c:autoTitleDeleted val="0"/>
    <c:plotArea>
      <c:layout>
        <c:manualLayout>
          <c:layoutTarget val="inner"/>
          <c:xMode val="edge"/>
          <c:yMode val="edge"/>
          <c:x val="9.1684530421827545E-2"/>
          <c:y val="0.21834107690765922"/>
          <c:w val="0.87420133658021615"/>
          <c:h val="0.40611440304824614"/>
        </c:manualLayout>
      </c:layout>
      <c:barChart>
        <c:barDir val="col"/>
        <c:grouping val="clustered"/>
        <c:varyColors val="0"/>
        <c:ser>
          <c:idx val="0"/>
          <c:order val="0"/>
          <c:spPr>
            <a:gradFill rotWithShape="0">
              <a:gsLst>
                <a:gs pos="0">
                  <a:srgbClr val="763B3B">
                    <a:gamma/>
                    <a:shade val="46275"/>
                    <a:invGamma/>
                  </a:srgbClr>
                </a:gs>
                <a:gs pos="50000">
                  <a:srgbClr val="FF8080"/>
                </a:gs>
                <a:gs pos="100000">
                  <a:srgbClr val="763B3B">
                    <a:gamma/>
                    <a:shade val="46275"/>
                    <a:invGamma/>
                  </a:srgbClr>
                </a:gs>
              </a:gsLst>
              <a:lin ang="1890000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875" b="0" i="0" u="none" strike="noStrike" baseline="0">
                    <a:solidFill>
                      <a:srgbClr val="000000"/>
                    </a:solidFill>
                    <a:latin typeface="Arial"/>
                    <a:ea typeface="Arial"/>
                    <a:cs typeface="Arial"/>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'ESTRUC. ORG.'!$F$24:$F$28</c:f>
              <c:strCache>
                <c:ptCount val="5"/>
                <c:pt idx="0">
                  <c:v>Programa I: Dirección y Administración General</c:v>
                </c:pt>
                <c:pt idx="1">
                  <c:v>Programa II: Servicios Comunitarios</c:v>
                </c:pt>
                <c:pt idx="2">
                  <c:v>Programa III: Inversiones</c:v>
                </c:pt>
                <c:pt idx="3">
                  <c:v>Programa IV: Partidas específicas</c:v>
                </c:pt>
                <c:pt idx="4">
                  <c:v>Total de plazas</c:v>
                </c:pt>
              </c:strCache>
            </c:strRef>
          </c:cat>
          <c:val>
            <c:numRef>
              <c:f>'ESTRUC. ORG.'!$M$24:$M$28</c:f>
              <c:numCache>
                <c:formatCode>General</c:formatCode>
                <c:ptCount val="5"/>
                <c:pt idx="0">
                  <c:v>109</c:v>
                </c:pt>
                <c:pt idx="1">
                  <c:v>90</c:v>
                </c:pt>
                <c:pt idx="2">
                  <c:v>55</c:v>
                </c:pt>
                <c:pt idx="3">
                  <c:v>0</c:v>
                </c:pt>
                <c:pt idx="4">
                  <c:v>254</c:v>
                </c:pt>
              </c:numCache>
            </c:numRef>
          </c:val>
          <c:extLst>
            <c:ext xmlns:c16="http://schemas.microsoft.com/office/drawing/2014/chart" uri="{C3380CC4-5D6E-409C-BE32-E72D297353CC}">
              <c16:uniqueId val="{00000000-E294-4566-A20E-361B8017387C}"/>
            </c:ext>
          </c:extLst>
        </c:ser>
        <c:dLbls>
          <c:showLegendKey val="0"/>
          <c:showVal val="0"/>
          <c:showCatName val="0"/>
          <c:showSerName val="0"/>
          <c:showPercent val="0"/>
          <c:showBubbleSize val="0"/>
        </c:dLbls>
        <c:gapWidth val="150"/>
        <c:axId val="1212449919"/>
        <c:axId val="1"/>
      </c:barChart>
      <c:catAx>
        <c:axId val="121244991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R"/>
          </a:p>
        </c:txPr>
        <c:crossAx val="1212449919"/>
        <c:crosses val="autoZero"/>
        <c:crossBetween val="between"/>
      </c:valAx>
      <c:spPr>
        <a:gradFill rotWithShape="0">
          <a:gsLst>
            <a:gs pos="0">
              <a:srgbClr val="185E5E">
                <a:gamma/>
                <a:shade val="46275"/>
                <a:invGamma/>
              </a:srgbClr>
            </a:gs>
            <a:gs pos="50000">
              <a:srgbClr val="33CCCC"/>
            </a:gs>
            <a:gs pos="100000">
              <a:srgbClr val="185E5E">
                <a:gamma/>
                <a:shade val="46275"/>
                <a:invGamma/>
              </a:srgbClr>
            </a:gs>
          </a:gsLst>
          <a:lin ang="18900000" scaled="1"/>
        </a:gradFill>
        <a:ln w="12700">
          <a:solidFill>
            <a:srgbClr val="808080"/>
          </a:solidFill>
          <a:prstDash val="solid"/>
        </a:ln>
      </c:spPr>
    </c:plotArea>
    <c:plotVisOnly val="1"/>
    <c:dispBlanksAs val="gap"/>
    <c:showDLblsOverMax val="0"/>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s-CR"/>
    </a:p>
  </c:txPr>
  <c:printSettings>
    <c:headerFooter alignWithMargins="0"/>
    <c:pageMargins b="1" l="0.75" r="0.75" t="1" header="0" footer="0"/>
    <c:pageSetup/>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2105025</xdr:colOff>
          <xdr:row>7</xdr:row>
          <xdr:rowOff>57150</xdr:rowOff>
        </xdr:from>
        <xdr:to>
          <xdr:col>1</xdr:col>
          <xdr:colOff>3067050</xdr:colOff>
          <xdr:row>9</xdr:row>
          <xdr:rowOff>285750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43B0420-754F-E3BE-B13A-072D7B12D70C}"/>
                </a:ext>
              </a:extLst>
            </xdr:cNvPr>
            <xdr:cNvSpPr/>
          </xdr:nvSpPr>
          <xdr:spPr bwMode="auto">
            <a:xfrm>
              <a:off x="0" y="0"/>
              <a:ext cx="0" cy="0"/>
            </a:xfrm>
            <a:prstGeom prst="rect">
              <a:avLst/>
            </a:prstGeom>
            <a:solidFill>
              <a:srgbClr val="FFFFFF" mc:Ignorable="a14" a14:legacySpreadsheetColorIndex="65"/>
            </a:solidFill>
            <a:ln>
              <a:noFill/>
            </a:ln>
            <a:effectLst/>
            <a:extLs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133350</xdr:rowOff>
    </xdr:from>
    <xdr:ext cx="5791200" cy="3849324"/>
    <xdr:sp macro="" textlink="">
      <xdr:nvSpPr>
        <xdr:cNvPr id="3" name="2 Rectángulo">
          <a:extLst>
            <a:ext uri="{FF2B5EF4-FFF2-40B4-BE49-F238E27FC236}">
              <a16:creationId xmlns:a16="http://schemas.microsoft.com/office/drawing/2014/main" id="{65A66A4A-9015-CAC9-83FC-ED44AF4DD351}"/>
            </a:ext>
          </a:extLst>
        </xdr:cNvPr>
        <xdr:cNvSpPr/>
      </xdr:nvSpPr>
      <xdr:spPr>
        <a:xfrm>
          <a:off x="114300" y="133350"/>
          <a:ext cx="5791200" cy="3849324"/>
        </a:xfrm>
        <a:prstGeom prst="rect">
          <a:avLst/>
        </a:prstGeom>
        <a:noFill/>
        <a:effectLst>
          <a:glow rad="101600">
            <a:schemeClr val="accent6">
              <a:satMod val="175000"/>
              <a:alpha val="40000"/>
            </a:schemeClr>
          </a:glow>
          <a:softEdge rad="127000"/>
        </a:effectLst>
      </xdr:spPr>
      <xdr:txBody>
        <a:bodyPr wrap="square" lIns="91440" tIns="45720" rIns="91440" bIns="45720">
          <a:spAutoFit/>
          <a:scene3d>
            <a:camera prst="perspectiveContrastingRightFacing"/>
            <a:lightRig rig="threePt" dir="t"/>
          </a:scene3d>
          <a:sp3d/>
        </a:bodyPr>
        <a:lstStyle/>
        <a:p>
          <a:pPr algn="ctr"/>
          <a:r>
            <a:rPr lang="es-ES" sz="8000" b="1" cap="none" spc="300">
              <a:ln w="11430" cmpd="sng">
                <a:solidFill>
                  <a:schemeClr val="accent1">
                    <a:tint val="10000"/>
                  </a:schemeClr>
                </a:solidFill>
                <a:prstDash val="solid"/>
                <a:miter lim="800000"/>
              </a:ln>
              <a:solidFill>
                <a:srgbClr val="0070C0"/>
              </a:solidFill>
              <a:effectLst>
                <a:glow rad="45500">
                  <a:schemeClr val="accent1">
                    <a:satMod val="220000"/>
                    <a:alpha val="35000"/>
                  </a:schemeClr>
                </a:glow>
              </a:effectLst>
            </a:rPr>
            <a:t>CUADROS</a:t>
          </a:r>
          <a:r>
            <a:rPr lang="es-ES" sz="8000" b="1" cap="none" spc="300" baseline="0">
              <a:ln w="11430" cmpd="sng">
                <a:solidFill>
                  <a:schemeClr val="accent1">
                    <a:tint val="10000"/>
                  </a:schemeClr>
                </a:solidFill>
                <a:prstDash val="solid"/>
                <a:miter lim="800000"/>
              </a:ln>
              <a:solidFill>
                <a:srgbClr val="0070C0"/>
              </a:solidFill>
              <a:effectLst>
                <a:glow rad="45500">
                  <a:schemeClr val="accent1">
                    <a:satMod val="220000"/>
                    <a:alpha val="35000"/>
                  </a:schemeClr>
                </a:glow>
              </a:effectLst>
            </a:rPr>
            <a:t>  </a:t>
          </a:r>
        </a:p>
        <a:p>
          <a:pPr algn="ctr"/>
          <a:r>
            <a:rPr lang="es-ES" sz="8000" b="1" cap="none" spc="300" baseline="0">
              <a:ln w="11430" cmpd="sng">
                <a:solidFill>
                  <a:schemeClr val="accent1">
                    <a:tint val="10000"/>
                  </a:schemeClr>
                </a:solidFill>
                <a:prstDash val="solid"/>
                <a:miter lim="800000"/>
              </a:ln>
              <a:solidFill>
                <a:srgbClr val="0070C0"/>
              </a:solidFill>
              <a:effectLst>
                <a:glow rad="45500">
                  <a:schemeClr val="accent1">
                    <a:satMod val="220000"/>
                    <a:alpha val="35000"/>
                  </a:schemeClr>
                </a:glow>
              </a:effectLst>
            </a:rPr>
            <a:t>Y</a:t>
          </a:r>
        </a:p>
        <a:p>
          <a:pPr algn="ctr"/>
          <a:r>
            <a:rPr lang="es-ES" sz="8000" b="1" cap="none" spc="300" baseline="0">
              <a:ln w="11430" cmpd="sng">
                <a:solidFill>
                  <a:schemeClr val="accent1">
                    <a:tint val="10000"/>
                  </a:schemeClr>
                </a:solidFill>
                <a:prstDash val="solid"/>
                <a:miter lim="800000"/>
              </a:ln>
              <a:solidFill>
                <a:srgbClr val="0070C0"/>
              </a:solidFill>
              <a:effectLst>
                <a:glow rad="45500">
                  <a:schemeClr val="accent1">
                    <a:satMod val="220000"/>
                    <a:alpha val="35000"/>
                  </a:schemeClr>
                </a:glow>
              </a:effectLst>
            </a:rPr>
            <a:t>ANEXOS</a:t>
          </a:r>
          <a:endParaRPr lang="es-ES" sz="8000" b="1" cap="none" spc="300">
            <a:ln w="11430" cmpd="sng">
              <a:solidFill>
                <a:schemeClr val="accent1">
                  <a:tint val="10000"/>
                </a:schemeClr>
              </a:solidFill>
              <a:prstDash val="solid"/>
              <a:miter lim="800000"/>
            </a:ln>
            <a:solidFill>
              <a:srgbClr val="0070C0"/>
            </a:solidFill>
            <a:effectLst>
              <a:glow rad="45500">
                <a:schemeClr val="accent1">
                  <a:satMod val="220000"/>
                  <a:alpha val="35000"/>
                </a:schemeClr>
              </a:glo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7</xdr:col>
      <xdr:colOff>161925</xdr:colOff>
      <xdr:row>10</xdr:row>
      <xdr:rowOff>95250</xdr:rowOff>
    </xdr:from>
    <xdr:to>
      <xdr:col>9</xdr:col>
      <xdr:colOff>247650</xdr:colOff>
      <xdr:row>10</xdr:row>
      <xdr:rowOff>152400</xdr:rowOff>
    </xdr:to>
    <xdr:cxnSp macro="">
      <xdr:nvCxnSpPr>
        <xdr:cNvPr id="6304702" name="6 Conector recto de flecha">
          <a:extLst>
            <a:ext uri="{FF2B5EF4-FFF2-40B4-BE49-F238E27FC236}">
              <a16:creationId xmlns:a16="http://schemas.microsoft.com/office/drawing/2014/main" id="{F12B1D45-82EF-9866-3EA1-6BB5A0DE872F}"/>
            </a:ext>
          </a:extLst>
        </xdr:cNvPr>
        <xdr:cNvCxnSpPr>
          <a:cxnSpLocks noChangeShapeType="1"/>
        </xdr:cNvCxnSpPr>
      </xdr:nvCxnSpPr>
      <xdr:spPr bwMode="auto">
        <a:xfrm flipH="1" flipV="1">
          <a:off x="6981825" y="2971800"/>
          <a:ext cx="0" cy="571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381000</xdr:colOff>
      <xdr:row>11</xdr:row>
      <xdr:rowOff>152400</xdr:rowOff>
    </xdr:from>
    <xdr:to>
      <xdr:col>9</xdr:col>
      <xdr:colOff>257175</xdr:colOff>
      <xdr:row>11</xdr:row>
      <xdr:rowOff>161925</xdr:rowOff>
    </xdr:to>
    <xdr:cxnSp macro="">
      <xdr:nvCxnSpPr>
        <xdr:cNvPr id="6304703" name="8 Conector recto de flecha">
          <a:extLst>
            <a:ext uri="{FF2B5EF4-FFF2-40B4-BE49-F238E27FC236}">
              <a16:creationId xmlns:a16="http://schemas.microsoft.com/office/drawing/2014/main" id="{DB85BC24-4B68-E8C5-0540-E61B7C03EBB5}"/>
            </a:ext>
          </a:extLst>
        </xdr:cNvPr>
        <xdr:cNvCxnSpPr>
          <a:cxnSpLocks noChangeShapeType="1"/>
        </xdr:cNvCxnSpPr>
      </xdr:nvCxnSpPr>
      <xdr:spPr bwMode="auto">
        <a:xfrm flipH="1" flipV="1">
          <a:off x="6981825" y="3257550"/>
          <a:ext cx="0" cy="95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66675</xdr:colOff>
      <xdr:row>109</xdr:row>
      <xdr:rowOff>123825</xdr:rowOff>
    </xdr:from>
    <xdr:to>
      <xdr:col>9</xdr:col>
      <xdr:colOff>142875</xdr:colOff>
      <xdr:row>110</xdr:row>
      <xdr:rowOff>114300</xdr:rowOff>
    </xdr:to>
    <xdr:cxnSp macro="">
      <xdr:nvCxnSpPr>
        <xdr:cNvPr id="6304704" name="16 Conector recto de flecha">
          <a:extLst>
            <a:ext uri="{FF2B5EF4-FFF2-40B4-BE49-F238E27FC236}">
              <a16:creationId xmlns:a16="http://schemas.microsoft.com/office/drawing/2014/main" id="{A88D2AF9-C0F1-2C66-91A1-79F7B33002E9}"/>
            </a:ext>
          </a:extLst>
        </xdr:cNvPr>
        <xdr:cNvCxnSpPr>
          <a:cxnSpLocks noChangeShapeType="1"/>
        </xdr:cNvCxnSpPr>
      </xdr:nvCxnSpPr>
      <xdr:spPr bwMode="auto">
        <a:xfrm rot="10800000">
          <a:off x="6981825" y="30337125"/>
          <a:ext cx="0" cy="2190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29</xdr:row>
      <xdr:rowOff>19050</xdr:rowOff>
    </xdr:from>
    <xdr:to>
      <xdr:col>4</xdr:col>
      <xdr:colOff>133350</xdr:colOff>
      <xdr:row>41</xdr:row>
      <xdr:rowOff>95250</xdr:rowOff>
    </xdr:to>
    <xdr:graphicFrame macro="">
      <xdr:nvGraphicFramePr>
        <xdr:cNvPr id="7096493" name="Chart 17">
          <a:extLst>
            <a:ext uri="{FF2B5EF4-FFF2-40B4-BE49-F238E27FC236}">
              <a16:creationId xmlns:a16="http://schemas.microsoft.com/office/drawing/2014/main" id="{9D4F132C-C504-5E25-AF5F-41E011185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xdr:colOff>
      <xdr:row>29</xdr:row>
      <xdr:rowOff>47625</xdr:rowOff>
    </xdr:from>
    <xdr:to>
      <xdr:col>15</xdr:col>
      <xdr:colOff>200025</xdr:colOff>
      <xdr:row>41</xdr:row>
      <xdr:rowOff>28575</xdr:rowOff>
    </xdr:to>
    <xdr:graphicFrame macro="">
      <xdr:nvGraphicFramePr>
        <xdr:cNvPr id="7096494" name="Chart 18">
          <a:extLst>
            <a:ext uri="{FF2B5EF4-FFF2-40B4-BE49-F238E27FC236}">
              <a16:creationId xmlns:a16="http://schemas.microsoft.com/office/drawing/2014/main" id="{EBCB0D41-338D-40B0-2998-D148F1F43D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428625</xdr:colOff>
      <xdr:row>42</xdr:row>
      <xdr:rowOff>142875</xdr:rowOff>
    </xdr:from>
    <xdr:to>
      <xdr:col>10</xdr:col>
      <xdr:colOff>219075</xdr:colOff>
      <xdr:row>56</xdr:row>
      <xdr:rowOff>57150</xdr:rowOff>
    </xdr:to>
    <xdr:graphicFrame macro="">
      <xdr:nvGraphicFramePr>
        <xdr:cNvPr id="7096495" name="Chart 19">
          <a:extLst>
            <a:ext uri="{FF2B5EF4-FFF2-40B4-BE49-F238E27FC236}">
              <a16:creationId xmlns:a16="http://schemas.microsoft.com/office/drawing/2014/main" id="{918F673F-0A72-6C94-A675-1C9D4923D3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171450</xdr:rowOff>
    </xdr:from>
    <xdr:ext cx="5981699" cy="3849324"/>
    <xdr:sp macro="" textlink="">
      <xdr:nvSpPr>
        <xdr:cNvPr id="4" name="3 Rectángulo">
          <a:extLst>
            <a:ext uri="{FF2B5EF4-FFF2-40B4-BE49-F238E27FC236}">
              <a16:creationId xmlns:a16="http://schemas.microsoft.com/office/drawing/2014/main" id="{B8141FD1-B512-28DC-B1C1-FA905E647441}"/>
            </a:ext>
          </a:extLst>
        </xdr:cNvPr>
        <xdr:cNvSpPr/>
      </xdr:nvSpPr>
      <xdr:spPr>
        <a:xfrm>
          <a:off x="85725" y="171450"/>
          <a:ext cx="5981699" cy="3849324"/>
        </a:xfrm>
        <a:prstGeom prst="rect">
          <a:avLst/>
        </a:prstGeom>
        <a:noFill/>
        <a:effectLst>
          <a:glow rad="101600">
            <a:schemeClr val="accent6">
              <a:satMod val="175000"/>
              <a:alpha val="40000"/>
            </a:schemeClr>
          </a:glow>
          <a:softEdge rad="127000"/>
        </a:effectLst>
      </xdr:spPr>
      <xdr:txBody>
        <a:bodyPr wrap="square" lIns="91440" tIns="45720" rIns="91440" bIns="45720">
          <a:spAutoFit/>
          <a:scene3d>
            <a:camera prst="perspectiveContrastingRightFacing"/>
            <a:lightRig rig="threePt" dir="t"/>
          </a:scene3d>
          <a:sp3d/>
        </a:bodyPr>
        <a:lstStyle/>
        <a:p>
          <a:pPr algn="ctr"/>
          <a:r>
            <a:rPr lang="es-ES" sz="8000" b="1" cap="none" spc="300">
              <a:ln w="11430" cmpd="sng">
                <a:solidFill>
                  <a:schemeClr val="accent1">
                    <a:tint val="10000"/>
                  </a:schemeClr>
                </a:solidFill>
                <a:prstDash val="solid"/>
                <a:miter lim="800000"/>
              </a:ln>
              <a:solidFill>
                <a:srgbClr val="0070C0"/>
              </a:solidFill>
              <a:effectLst>
                <a:glow rad="45500">
                  <a:schemeClr val="accent1">
                    <a:satMod val="220000"/>
                    <a:alpha val="35000"/>
                  </a:schemeClr>
                </a:glow>
              </a:effectLst>
            </a:rPr>
            <a:t>PLAN OPERATIVO</a:t>
          </a:r>
          <a:r>
            <a:rPr lang="es-ES" sz="8000" b="1" cap="none" spc="300" baseline="0">
              <a:ln w="11430" cmpd="sng">
                <a:solidFill>
                  <a:schemeClr val="accent1">
                    <a:tint val="10000"/>
                  </a:schemeClr>
                </a:solidFill>
                <a:prstDash val="solid"/>
                <a:miter lim="800000"/>
              </a:ln>
              <a:solidFill>
                <a:srgbClr val="0070C0"/>
              </a:solidFill>
              <a:effectLst>
                <a:glow rad="45500">
                  <a:schemeClr val="accent1">
                    <a:satMod val="220000"/>
                    <a:alpha val="35000"/>
                  </a:schemeClr>
                </a:glow>
              </a:effectLst>
            </a:rPr>
            <a:t> ANUAL</a:t>
          </a:r>
          <a:endParaRPr lang="es-ES" sz="8000" b="1" cap="none" spc="300">
            <a:ln w="11430" cmpd="sng">
              <a:solidFill>
                <a:schemeClr val="accent1">
                  <a:tint val="10000"/>
                </a:schemeClr>
              </a:solidFill>
              <a:prstDash val="solid"/>
              <a:miter lim="800000"/>
            </a:ln>
            <a:solidFill>
              <a:srgbClr val="0070C0"/>
            </a:solidFill>
            <a:effectLst>
              <a:glow rad="45500">
                <a:schemeClr val="accent1">
                  <a:satMod val="220000"/>
                  <a:alpha val="35000"/>
                </a:schemeClr>
              </a:glow>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TALLES%20PRESUPUESTO%20ORDINAR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ETALLE%20DE%20RECURSOS%20HUMANOS/ORDINARIO%202013%20(24-08-2012)/MATRICES%20REMUNERACIONES%20(24-8-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20documentos/DCTS%202011/ORDINARIO%202012/MATRICES%20DEL%20ORDINARIO/DETALLE%20RECURSOS%20HUMANOS/MATRICES%20REMUNER.%202011%20(6)%2025-09-10%20sin%20manual%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ESTIMACION%20INGRESOS%20P.ORDINARI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ETALLE%20DE%20RECURSOS%20HUMANOS/ORDINARIO%202013%20(26-09-12)/MATRICES%20REMUNERACIONES%20(26-09-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cep01\publico\2-%20NIVEL%20DE%20EJECUCI&#211;N\2.1%20HACIENDA%20MUNICIPAL\2.1%20Corresp.%20Hacienda%20Mpal\ESTIMACION%20INGRESOS%20P.ORDINA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cep01\publico\2-%20NIVEL%20DE%20EJECUCI&#211;N\2.1%20HACIENDA%20MUNICIPAL\ESTIMACION%20INGRESOS%20P.ORDINAR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DCTS%202007/ORDINARIO%202008/MATRICES%20DEL%20ORDINARIO/ESTIMACION%20INGRESOS%20P.ORDINARI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cep01\publico\CONTABILIDAD\Libro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DCTS%202008/ORDINARIO%202009/MATRICES%20DEL%20ORDINARIO/ESTIMACION%20INGRESOS%20P.ORDINARI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cep01\PUBLICO\Mis%20documentos\DCTS%202007\ORDINARIO%202008\MATRICES%20DEL%20ORDINARIO\ESTIMACION%20INGRESOS%20P.ORDINARI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ecep01\PUBLICO\Mis%20documentos\DCTS%202008\ORDINARIO%202009\MATRICES%20DEL%20ORDINARIO\ESTIMACION%20INGRESOS%20P.ORDINARI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UNICIPALIDAD/ORDINARIO%202008/MATRICES%20DEL%20ORDINARIO/ESTIMACION%20INGRESOS%20P.ORDINAR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STOS"/>
      <sheetName val="DETALLE GASTOS"/>
      <sheetName val="int. per. gracia"/>
      <sheetName val="CAMBIOS 19-09-12"/>
      <sheetName val="cambios 20-09-12"/>
      <sheetName val="REBAJOS"/>
      <sheetName val="RESUMEN SOLICITUDES"/>
      <sheetName val="GASTOS SANID."/>
      <sheetName val="RESUMEN REMUNERACIONES"/>
      <sheetName val="RESERVA MANUAL"/>
      <sheetName val="APORTES EN ESPECIE "/>
      <sheetName val="UNIÓN G.L."/>
      <sheetName val="cargas sociales"/>
      <sheetName val="Hoja1 (2)"/>
      <sheetName val="Catálogo"/>
      <sheetName val="Hoja16"/>
    </sheetNames>
    <sheetDataSet>
      <sheetData sheetId="0">
        <row r="5">
          <cell r="BE5">
            <v>1</v>
          </cell>
          <cell r="BF5">
            <v>2</v>
          </cell>
          <cell r="BH5">
            <v>1</v>
          </cell>
          <cell r="BI5">
            <v>2</v>
          </cell>
          <cell r="BJ5">
            <v>3</v>
          </cell>
          <cell r="BK5">
            <v>4</v>
          </cell>
          <cell r="BL5">
            <v>5</v>
          </cell>
          <cell r="BM5">
            <v>6</v>
          </cell>
          <cell r="BN5">
            <v>7</v>
          </cell>
          <cell r="BP5">
            <v>1</v>
          </cell>
          <cell r="BQ5">
            <v>2</v>
          </cell>
          <cell r="BS5" t="str">
            <v>1</v>
          </cell>
          <cell r="BT5">
            <v>2</v>
          </cell>
          <cell r="BV5" t="str">
            <v>1</v>
          </cell>
          <cell r="BW5">
            <v>2</v>
          </cell>
          <cell r="BX5">
            <v>3</v>
          </cell>
          <cell r="BY5">
            <v>4</v>
          </cell>
          <cell r="BZ5">
            <v>5</v>
          </cell>
          <cell r="CA5">
            <v>6</v>
          </cell>
          <cell r="CB5">
            <v>7</v>
          </cell>
        </row>
        <row r="6">
          <cell r="BE6" t="str">
            <v>Construcción Centro de Cuido y Desarrollo Infantil (FODESAF)</v>
          </cell>
          <cell r="BF6" t="str">
            <v>xxx 2</v>
          </cell>
          <cell r="BH6" t="str">
            <v>Unidad técnica de gestión vial municipal, L8114.</v>
          </cell>
          <cell r="BI6" t="str">
            <v>Bacheo mecanizado en los distritos del Cantón, L.8114.</v>
          </cell>
          <cell r="BJ6" t="str">
            <v>Sistemas de Drenaje y Puentes en distritos del cantón, L.8114.</v>
          </cell>
          <cell r="BK6" t="str">
            <v>Conservación y Mejoramiento de Superficies de Ruedo en los distritos del cantón, L.8114.</v>
          </cell>
          <cell r="BL6" t="str">
            <v>Construcción Aceras, atención L.7600 (rec. propios)</v>
          </cell>
          <cell r="BM6" t="str">
            <v>Mejoramiento Infraestructura Vial de Pérez Zeledón</v>
          </cell>
          <cell r="BN6" t="str">
            <v>xxxx 7</v>
          </cell>
          <cell r="BP6" t="str">
            <v>xxxx 1</v>
          </cell>
          <cell r="BQ6" t="str">
            <v>xxxx 2</v>
          </cell>
          <cell r="BS6" t="str">
            <v>xxxx 1</v>
          </cell>
          <cell r="BT6" t="str">
            <v>xxxx 2</v>
          </cell>
          <cell r="BV6" t="str">
            <v>Dirección Técnica y Estudios</v>
          </cell>
          <cell r="BW6" t="str">
            <v>Cierre Técnico Vertedero Municipal (rec. Propios)</v>
          </cell>
          <cell r="BX6" t="str">
            <v>Instalación cámaras de vigilancia en el Cantón.</v>
          </cell>
          <cell r="BY6" t="str">
            <v>Construcción Relleno Sanitario (prést. IFAM)</v>
          </cell>
          <cell r="BZ6" t="str">
            <v>Construcción graderías en cancha El Cañaveral, Daniel Flores.</v>
          </cell>
          <cell r="CA6" t="str">
            <v>xxx 6</v>
          </cell>
          <cell r="CB6" t="str">
            <v>xxx 7</v>
          </cell>
        </row>
        <row r="9">
          <cell r="D9">
            <v>2474990121.5999999</v>
          </cell>
          <cell r="F9">
            <v>1260654457.5999999</v>
          </cell>
          <cell r="T9">
            <v>725746426</v>
          </cell>
          <cell r="BD9">
            <v>488589238</v>
          </cell>
          <cell r="CF9">
            <v>0</v>
          </cell>
        </row>
        <row r="11">
          <cell r="C11">
            <v>1248367350</v>
          </cell>
        </row>
        <row r="12">
          <cell r="F12">
            <v>533279808</v>
          </cell>
          <cell r="T12">
            <v>370989600</v>
          </cell>
          <cell r="BD12">
            <v>240526000</v>
          </cell>
          <cell r="CF12">
            <v>0</v>
          </cell>
        </row>
        <row r="13">
          <cell r="F13">
            <v>0</v>
          </cell>
          <cell r="T13">
            <v>2679199</v>
          </cell>
          <cell r="BD13">
            <v>20004693</v>
          </cell>
          <cell r="CF13">
            <v>0</v>
          </cell>
        </row>
        <row r="14">
          <cell r="F14">
            <v>40244400</v>
          </cell>
          <cell r="T14">
            <v>13143650</v>
          </cell>
          <cell r="BD14">
            <v>0</v>
          </cell>
          <cell r="CF14">
            <v>0</v>
          </cell>
        </row>
        <row r="15">
          <cell r="F15">
            <v>0</v>
          </cell>
          <cell r="T15">
            <v>0</v>
          </cell>
          <cell r="BD15">
            <v>0</v>
          </cell>
          <cell r="CF15">
            <v>0</v>
          </cell>
        </row>
        <row r="16">
          <cell r="F16">
            <v>9050000</v>
          </cell>
          <cell r="T16">
            <v>12450000</v>
          </cell>
          <cell r="BD16">
            <v>6000000</v>
          </cell>
          <cell r="CF16">
            <v>0</v>
          </cell>
        </row>
        <row r="19">
          <cell r="C19">
            <v>37250000</v>
          </cell>
          <cell r="F19">
            <v>2450000</v>
          </cell>
          <cell r="T19">
            <v>14800000</v>
          </cell>
          <cell r="BD19">
            <v>20000000</v>
          </cell>
          <cell r="CF19">
            <v>0</v>
          </cell>
        </row>
        <row r="20">
          <cell r="C20">
            <v>3650000</v>
          </cell>
          <cell r="F20">
            <v>1950000</v>
          </cell>
          <cell r="T20">
            <v>1200000</v>
          </cell>
          <cell r="BD20">
            <v>500000</v>
          </cell>
          <cell r="CF20">
            <v>0</v>
          </cell>
        </row>
        <row r="21">
          <cell r="F21">
            <v>0</v>
          </cell>
          <cell r="T21">
            <v>0</v>
          </cell>
          <cell r="BD21">
            <v>0</v>
          </cell>
          <cell r="CF21">
            <v>0</v>
          </cell>
        </row>
        <row r="22">
          <cell r="F22">
            <v>0</v>
          </cell>
          <cell r="T22">
            <v>0</v>
          </cell>
          <cell r="BD22">
            <v>0</v>
          </cell>
          <cell r="CF22">
            <v>0</v>
          </cell>
        </row>
        <row r="23">
          <cell r="F23">
            <v>54344985.600000001</v>
          </cell>
          <cell r="T23">
            <v>0</v>
          </cell>
          <cell r="BD23">
            <v>0</v>
          </cell>
          <cell r="CF23">
            <v>0</v>
          </cell>
        </row>
        <row r="26">
          <cell r="C26">
            <v>327512020</v>
          </cell>
          <cell r="F26">
            <v>161816263</v>
          </cell>
          <cell r="T26">
            <v>103124382</v>
          </cell>
          <cell r="BD26">
            <v>62571375</v>
          </cell>
          <cell r="CF26">
            <v>0</v>
          </cell>
        </row>
        <row r="27">
          <cell r="C27">
            <v>167793912</v>
          </cell>
          <cell r="F27">
            <v>133698612</v>
          </cell>
          <cell r="T27">
            <v>20372580</v>
          </cell>
          <cell r="BD27">
            <v>13722720</v>
          </cell>
          <cell r="CF27">
            <v>0</v>
          </cell>
        </row>
        <row r="28">
          <cell r="C28">
            <v>152166856</v>
          </cell>
          <cell r="F28">
            <v>75896046</v>
          </cell>
          <cell r="T28">
            <v>45535440</v>
          </cell>
          <cell r="BD28">
            <v>30735370</v>
          </cell>
          <cell r="CF28">
            <v>0</v>
          </cell>
        </row>
        <row r="29">
          <cell r="F29">
            <v>0</v>
          </cell>
          <cell r="T29">
            <v>0</v>
          </cell>
          <cell r="BD29">
            <v>0</v>
          </cell>
          <cell r="CF29">
            <v>0</v>
          </cell>
        </row>
        <row r="30">
          <cell r="C30">
            <v>41501844</v>
          </cell>
          <cell r="F30">
            <v>28299858</v>
          </cell>
          <cell r="T30">
            <v>7687608</v>
          </cell>
          <cell r="BD30">
            <v>5514378</v>
          </cell>
          <cell r="CF30">
            <v>0</v>
          </cell>
        </row>
        <row r="33">
          <cell r="C33">
            <v>168911968</v>
          </cell>
          <cell r="F33">
            <v>84247981</v>
          </cell>
          <cell r="T33">
            <v>50546362</v>
          </cell>
          <cell r="BD33">
            <v>34117625</v>
          </cell>
          <cell r="CF33">
            <v>0</v>
          </cell>
        </row>
        <row r="34">
          <cell r="F34">
            <v>0</v>
          </cell>
          <cell r="T34">
            <v>0</v>
          </cell>
          <cell r="BD34">
            <v>0</v>
          </cell>
          <cell r="CF34">
            <v>0</v>
          </cell>
        </row>
        <row r="35">
          <cell r="F35">
            <v>0</v>
          </cell>
          <cell r="T35">
            <v>0</v>
          </cell>
          <cell r="BD35">
            <v>0</v>
          </cell>
          <cell r="CF35">
            <v>0</v>
          </cell>
        </row>
        <row r="36">
          <cell r="F36">
            <v>0</v>
          </cell>
          <cell r="T36">
            <v>0</v>
          </cell>
          <cell r="BD36">
            <v>0</v>
          </cell>
          <cell r="CF36">
            <v>0</v>
          </cell>
        </row>
        <row r="37">
          <cell r="C37">
            <v>9130394</v>
          </cell>
          <cell r="F37">
            <v>4553949</v>
          </cell>
          <cell r="T37">
            <v>2732247</v>
          </cell>
          <cell r="BD37">
            <v>1844198</v>
          </cell>
          <cell r="CF37">
            <v>0</v>
          </cell>
        </row>
        <row r="40">
          <cell r="C40">
            <v>89842913</v>
          </cell>
          <cell r="F40">
            <v>44810820</v>
          </cell>
          <cell r="T40">
            <v>26885205</v>
          </cell>
          <cell r="BD40">
            <v>18146888</v>
          </cell>
          <cell r="CF40">
            <v>0</v>
          </cell>
        </row>
        <row r="41">
          <cell r="C41">
            <v>27391143</v>
          </cell>
          <cell r="F41">
            <v>13661839</v>
          </cell>
          <cell r="T41">
            <v>8196715</v>
          </cell>
          <cell r="BD41">
            <v>5532589</v>
          </cell>
          <cell r="CF41">
            <v>0</v>
          </cell>
        </row>
        <row r="42">
          <cell r="C42">
            <v>54782271</v>
          </cell>
          <cell r="F42">
            <v>27323673</v>
          </cell>
          <cell r="T42">
            <v>16393422</v>
          </cell>
          <cell r="BD42">
            <v>11065176</v>
          </cell>
          <cell r="CF42">
            <v>0</v>
          </cell>
        </row>
        <row r="43">
          <cell r="F43">
            <v>0</v>
          </cell>
          <cell r="T43">
            <v>0</v>
          </cell>
          <cell r="BD43">
            <v>0</v>
          </cell>
          <cell r="CF43">
            <v>0</v>
          </cell>
        </row>
        <row r="44">
          <cell r="F44">
            <v>45026223</v>
          </cell>
          <cell r="T44">
            <v>29010016</v>
          </cell>
          <cell r="BD44">
            <v>18308226</v>
          </cell>
          <cell r="CF44">
            <v>0</v>
          </cell>
        </row>
        <row r="47">
          <cell r="F47">
            <v>0</v>
          </cell>
          <cell r="T47">
            <v>0</v>
          </cell>
          <cell r="BD47">
            <v>0</v>
          </cell>
          <cell r="CF47">
            <v>0</v>
          </cell>
        </row>
        <row r="48">
          <cell r="F48">
            <v>0</v>
          </cell>
          <cell r="T48">
            <v>0</v>
          </cell>
          <cell r="BD48">
            <v>0</v>
          </cell>
          <cell r="CF48">
            <v>0</v>
          </cell>
        </row>
        <row r="51">
          <cell r="D51">
            <v>757345863</v>
          </cell>
          <cell r="F51">
            <v>166862783</v>
          </cell>
          <cell r="T51">
            <v>319625381</v>
          </cell>
          <cell r="BD51">
            <v>270857699</v>
          </cell>
          <cell r="CF51">
            <v>0</v>
          </cell>
        </row>
        <row r="54">
          <cell r="F54">
            <v>456000</v>
          </cell>
          <cell r="T54">
            <v>10088000</v>
          </cell>
          <cell r="BD54">
            <v>0</v>
          </cell>
          <cell r="CF54">
            <v>0</v>
          </cell>
        </row>
        <row r="55">
          <cell r="F55">
            <v>70000</v>
          </cell>
          <cell r="T55">
            <v>16433061</v>
          </cell>
          <cell r="BD55">
            <v>54000000</v>
          </cell>
          <cell r="CF55">
            <v>0</v>
          </cell>
        </row>
        <row r="56">
          <cell r="F56">
            <v>0</v>
          </cell>
          <cell r="T56">
            <v>0</v>
          </cell>
          <cell r="BD56">
            <v>0</v>
          </cell>
          <cell r="CF56">
            <v>0</v>
          </cell>
        </row>
        <row r="57">
          <cell r="F57">
            <v>0</v>
          </cell>
          <cell r="T57">
            <v>0</v>
          </cell>
          <cell r="BD57">
            <v>0</v>
          </cell>
          <cell r="CF57">
            <v>0</v>
          </cell>
        </row>
        <row r="58">
          <cell r="F58">
            <v>70000</v>
          </cell>
          <cell r="T58">
            <v>0</v>
          </cell>
          <cell r="BD58">
            <v>0</v>
          </cell>
          <cell r="CF58">
            <v>0</v>
          </cell>
        </row>
        <row r="61">
          <cell r="F61">
            <v>3600000</v>
          </cell>
          <cell r="T61">
            <v>7210000</v>
          </cell>
          <cell r="BD61">
            <v>0</v>
          </cell>
          <cell r="CF61">
            <v>0</v>
          </cell>
        </row>
        <row r="62">
          <cell r="F62">
            <v>23900000</v>
          </cell>
          <cell r="T62">
            <v>11140000</v>
          </cell>
          <cell r="BD62">
            <v>0</v>
          </cell>
          <cell r="CF62">
            <v>0</v>
          </cell>
        </row>
        <row r="63">
          <cell r="F63">
            <v>125000</v>
          </cell>
          <cell r="T63">
            <v>0</v>
          </cell>
          <cell r="BD63">
            <v>0</v>
          </cell>
          <cell r="CF63">
            <v>0</v>
          </cell>
        </row>
        <row r="64">
          <cell r="F64">
            <v>6200000</v>
          </cell>
          <cell r="T64">
            <v>2470000</v>
          </cell>
          <cell r="BD64">
            <v>345000</v>
          </cell>
          <cell r="CF64">
            <v>0</v>
          </cell>
        </row>
        <row r="65">
          <cell r="F65">
            <v>0</v>
          </cell>
          <cell r="T65">
            <v>0</v>
          </cell>
          <cell r="BD65">
            <v>0</v>
          </cell>
          <cell r="CF65">
            <v>0</v>
          </cell>
        </row>
        <row r="68">
          <cell r="C68">
            <v>11525000</v>
          </cell>
          <cell r="F68">
            <v>8455000</v>
          </cell>
          <cell r="T68">
            <v>1070000</v>
          </cell>
          <cell r="BD68">
            <v>2000000</v>
          </cell>
          <cell r="CF68">
            <v>0</v>
          </cell>
        </row>
        <row r="69">
          <cell r="C69">
            <v>1680000</v>
          </cell>
          <cell r="F69">
            <v>660000</v>
          </cell>
          <cell r="T69">
            <v>720000</v>
          </cell>
          <cell r="BD69">
            <v>300000</v>
          </cell>
          <cell r="CF69">
            <v>0</v>
          </cell>
        </row>
        <row r="70">
          <cell r="F70">
            <v>3169000</v>
          </cell>
          <cell r="T70">
            <v>4280000</v>
          </cell>
          <cell r="BD70">
            <v>500000</v>
          </cell>
          <cell r="CF70">
            <v>0</v>
          </cell>
        </row>
        <row r="71">
          <cell r="F71">
            <v>850000</v>
          </cell>
          <cell r="T71">
            <v>50000</v>
          </cell>
          <cell r="BD71">
            <v>1420000</v>
          </cell>
          <cell r="CF71">
            <v>0</v>
          </cell>
        </row>
        <row r="72">
          <cell r="F72">
            <v>0</v>
          </cell>
          <cell r="T72">
            <v>0</v>
          </cell>
          <cell r="BD72">
            <v>0</v>
          </cell>
          <cell r="CF72">
            <v>0</v>
          </cell>
        </row>
        <row r="73">
          <cell r="F73">
            <v>15000000</v>
          </cell>
          <cell r="T73">
            <v>0</v>
          </cell>
          <cell r="BD73">
            <v>0</v>
          </cell>
          <cell r="CF73">
            <v>0</v>
          </cell>
        </row>
        <row r="74">
          <cell r="F74">
            <v>917000</v>
          </cell>
          <cell r="T74">
            <v>0</v>
          </cell>
          <cell r="BD74">
            <v>0</v>
          </cell>
          <cell r="CF74">
            <v>0</v>
          </cell>
        </row>
        <row r="77">
          <cell r="F77">
            <v>0</v>
          </cell>
          <cell r="T77">
            <v>0</v>
          </cell>
          <cell r="BD77">
            <v>0</v>
          </cell>
          <cell r="CF77">
            <v>0</v>
          </cell>
        </row>
        <row r="78">
          <cell r="F78">
            <v>50000</v>
          </cell>
          <cell r="T78">
            <v>0</v>
          </cell>
          <cell r="BD78">
            <v>150000</v>
          </cell>
          <cell r="CF78">
            <v>0</v>
          </cell>
        </row>
        <row r="79">
          <cell r="F79">
            <v>0</v>
          </cell>
          <cell r="T79">
            <v>1300000</v>
          </cell>
          <cell r="BD79">
            <v>113000000</v>
          </cell>
          <cell r="CF79">
            <v>0</v>
          </cell>
        </row>
        <row r="80">
          <cell r="F80">
            <v>0</v>
          </cell>
          <cell r="T80">
            <v>0</v>
          </cell>
          <cell r="BD80">
            <v>0</v>
          </cell>
          <cell r="CF80">
            <v>0</v>
          </cell>
        </row>
        <row r="81">
          <cell r="F81">
            <v>8000000</v>
          </cell>
          <cell r="T81">
            <v>0</v>
          </cell>
          <cell r="BD81">
            <v>0</v>
          </cell>
          <cell r="CF81">
            <v>0</v>
          </cell>
        </row>
        <row r="82">
          <cell r="F82">
            <v>53120000</v>
          </cell>
          <cell r="T82">
            <v>115048000</v>
          </cell>
          <cell r="BD82">
            <v>200000</v>
          </cell>
          <cell r="CF82">
            <v>0</v>
          </cell>
        </row>
        <row r="83">
          <cell r="F83">
            <v>1320000</v>
          </cell>
          <cell r="T83">
            <v>32945000</v>
          </cell>
          <cell r="BD83">
            <v>470000</v>
          </cell>
          <cell r="CF83">
            <v>0</v>
          </cell>
        </row>
        <row r="86">
          <cell r="F86">
            <v>1075000</v>
          </cell>
          <cell r="T86">
            <v>0</v>
          </cell>
          <cell r="BD86">
            <v>400000</v>
          </cell>
          <cell r="CF86">
            <v>0</v>
          </cell>
        </row>
        <row r="87">
          <cell r="F87">
            <v>1900000</v>
          </cell>
          <cell r="T87">
            <v>0</v>
          </cell>
          <cell r="BD87">
            <v>2000000</v>
          </cell>
          <cell r="CF87">
            <v>0</v>
          </cell>
        </row>
        <row r="88">
          <cell r="F88">
            <v>0</v>
          </cell>
          <cell r="T88">
            <v>0</v>
          </cell>
          <cell r="BD88">
            <v>0</v>
          </cell>
          <cell r="CF88">
            <v>0</v>
          </cell>
        </row>
        <row r="89">
          <cell r="F89">
            <v>0</v>
          </cell>
          <cell r="T89">
            <v>0</v>
          </cell>
          <cell r="BD89">
            <v>0</v>
          </cell>
          <cell r="CF89">
            <v>0</v>
          </cell>
        </row>
        <row r="92">
          <cell r="F92">
            <v>24415783</v>
          </cell>
          <cell r="T92">
            <v>38758949</v>
          </cell>
          <cell r="BD92">
            <v>42092699</v>
          </cell>
          <cell r="CF92">
            <v>0</v>
          </cell>
        </row>
        <row r="93">
          <cell r="F93">
            <v>0</v>
          </cell>
          <cell r="T93">
            <v>0</v>
          </cell>
          <cell r="BD93">
            <v>0</v>
          </cell>
          <cell r="CF93">
            <v>0</v>
          </cell>
        </row>
        <row r="94">
          <cell r="F94">
            <v>0</v>
          </cell>
          <cell r="T94">
            <v>0</v>
          </cell>
          <cell r="BD94">
            <v>0</v>
          </cell>
          <cell r="CF94">
            <v>0</v>
          </cell>
        </row>
        <row r="97">
          <cell r="F97">
            <v>3200000</v>
          </cell>
          <cell r="T97">
            <v>14350000</v>
          </cell>
          <cell r="BD97">
            <v>2500000</v>
          </cell>
          <cell r="CF97">
            <v>0</v>
          </cell>
        </row>
        <row r="98">
          <cell r="F98">
            <v>2100000</v>
          </cell>
          <cell r="T98">
            <v>34700371</v>
          </cell>
          <cell r="BD98">
            <v>500000</v>
          </cell>
          <cell r="CF98">
            <v>0</v>
          </cell>
        </row>
        <row r="99">
          <cell r="F99">
            <v>1700000</v>
          </cell>
          <cell r="T99">
            <v>0</v>
          </cell>
          <cell r="BD99">
            <v>0</v>
          </cell>
          <cell r="CF99">
            <v>0</v>
          </cell>
        </row>
        <row r="102">
          <cell r="F102">
            <v>25000</v>
          </cell>
          <cell r="T102">
            <v>19350000</v>
          </cell>
          <cell r="BD102">
            <v>0</v>
          </cell>
          <cell r="CF102">
            <v>0</v>
          </cell>
        </row>
        <row r="103">
          <cell r="F103">
            <v>0</v>
          </cell>
          <cell r="T103">
            <v>0</v>
          </cell>
          <cell r="BD103">
            <v>0</v>
          </cell>
          <cell r="CF103">
            <v>0</v>
          </cell>
        </row>
        <row r="104">
          <cell r="F104">
            <v>0</v>
          </cell>
          <cell r="T104">
            <v>0</v>
          </cell>
          <cell r="BD104">
            <v>0</v>
          </cell>
          <cell r="CF104">
            <v>0</v>
          </cell>
        </row>
        <row r="105">
          <cell r="F105">
            <v>0</v>
          </cell>
          <cell r="T105">
            <v>3200000</v>
          </cell>
          <cell r="BD105">
            <v>20000000</v>
          </cell>
          <cell r="CF105">
            <v>0</v>
          </cell>
        </row>
        <row r="106">
          <cell r="F106">
            <v>1795000</v>
          </cell>
          <cell r="T106">
            <v>5360000</v>
          </cell>
          <cell r="BD106">
            <v>28800000</v>
          </cell>
          <cell r="CF106">
            <v>0</v>
          </cell>
        </row>
        <row r="107">
          <cell r="F107">
            <v>650000</v>
          </cell>
          <cell r="T107">
            <v>300000</v>
          </cell>
          <cell r="BD107">
            <v>70000</v>
          </cell>
          <cell r="CF107">
            <v>0</v>
          </cell>
        </row>
        <row r="108">
          <cell r="F108">
            <v>2130000</v>
          </cell>
          <cell r="T108">
            <v>550000</v>
          </cell>
          <cell r="BD108">
            <v>500000</v>
          </cell>
          <cell r="CF108">
            <v>0</v>
          </cell>
        </row>
        <row r="109">
          <cell r="F109">
            <v>1330000</v>
          </cell>
          <cell r="T109">
            <v>200000</v>
          </cell>
          <cell r="BD109">
            <v>250000</v>
          </cell>
          <cell r="CF109">
            <v>0</v>
          </cell>
        </row>
        <row r="110">
          <cell r="F110">
            <v>250000</v>
          </cell>
          <cell r="T110">
            <v>0</v>
          </cell>
          <cell r="BD110">
            <v>0</v>
          </cell>
          <cell r="CF110">
            <v>0</v>
          </cell>
        </row>
        <row r="113">
          <cell r="F113">
            <v>0</v>
          </cell>
          <cell r="T113">
            <v>0</v>
          </cell>
          <cell r="BD113">
            <v>0</v>
          </cell>
          <cell r="CF113">
            <v>0</v>
          </cell>
        </row>
        <row r="114">
          <cell r="F114">
            <v>0</v>
          </cell>
          <cell r="T114">
            <v>0</v>
          </cell>
          <cell r="BD114">
            <v>0</v>
          </cell>
          <cell r="CF114">
            <v>0</v>
          </cell>
        </row>
        <row r="115">
          <cell r="F115">
            <v>0</v>
          </cell>
          <cell r="T115">
            <v>0</v>
          </cell>
          <cell r="BD115">
            <v>0</v>
          </cell>
          <cell r="CF115">
            <v>0</v>
          </cell>
        </row>
        <row r="116">
          <cell r="F116">
            <v>330000</v>
          </cell>
          <cell r="T116">
            <v>102000</v>
          </cell>
          <cell r="BD116">
            <v>360000</v>
          </cell>
          <cell r="CF116">
            <v>0</v>
          </cell>
        </row>
        <row r="119">
          <cell r="F119">
            <v>0</v>
          </cell>
          <cell r="T119">
            <v>0</v>
          </cell>
          <cell r="BD119">
            <v>0</v>
          </cell>
          <cell r="CF119">
            <v>0</v>
          </cell>
        </row>
        <row r="120">
          <cell r="F120">
            <v>0</v>
          </cell>
          <cell r="T120">
            <v>0</v>
          </cell>
          <cell r="BD120">
            <v>0</v>
          </cell>
          <cell r="CF120">
            <v>0</v>
          </cell>
        </row>
        <row r="121">
          <cell r="F121">
            <v>0</v>
          </cell>
          <cell r="T121">
            <v>0</v>
          </cell>
          <cell r="BD121">
            <v>0</v>
          </cell>
          <cell r="CF121">
            <v>0</v>
          </cell>
        </row>
        <row r="122">
          <cell r="F122">
            <v>0</v>
          </cell>
          <cell r="T122">
            <v>0</v>
          </cell>
          <cell r="BD122">
            <v>0</v>
          </cell>
          <cell r="CF122">
            <v>0</v>
          </cell>
        </row>
        <row r="123">
          <cell r="F123">
            <v>0</v>
          </cell>
          <cell r="T123">
            <v>0</v>
          </cell>
          <cell r="BD123">
            <v>1000000</v>
          </cell>
          <cell r="CF123">
            <v>0</v>
          </cell>
        </row>
        <row r="124">
          <cell r="F124">
            <v>0</v>
          </cell>
          <cell r="T124">
            <v>0</v>
          </cell>
          <cell r="BD124">
            <v>0</v>
          </cell>
          <cell r="CF124">
            <v>0</v>
          </cell>
        </row>
        <row r="127">
          <cell r="D127">
            <v>985596883</v>
          </cell>
          <cell r="F127">
            <v>47900650</v>
          </cell>
          <cell r="T127">
            <v>420024283</v>
          </cell>
          <cell r="BD127">
            <v>517671950</v>
          </cell>
          <cell r="CF127">
            <v>0</v>
          </cell>
        </row>
        <row r="130">
          <cell r="F130">
            <v>4670000</v>
          </cell>
          <cell r="T130">
            <v>116945500</v>
          </cell>
          <cell r="BD130">
            <v>196200000</v>
          </cell>
          <cell r="CF130">
            <v>0</v>
          </cell>
        </row>
        <row r="131">
          <cell r="F131">
            <v>675000</v>
          </cell>
          <cell r="T131">
            <v>6807260</v>
          </cell>
          <cell r="BD131">
            <v>200000</v>
          </cell>
          <cell r="CF131">
            <v>0</v>
          </cell>
        </row>
        <row r="132">
          <cell r="F132">
            <v>0</v>
          </cell>
          <cell r="T132">
            <v>0</v>
          </cell>
          <cell r="BD132">
            <v>0</v>
          </cell>
          <cell r="CF132">
            <v>0</v>
          </cell>
        </row>
        <row r="133">
          <cell r="F133">
            <v>12874000</v>
          </cell>
          <cell r="T133">
            <v>18151611</v>
          </cell>
          <cell r="BD133">
            <v>3100000</v>
          </cell>
          <cell r="CF133">
            <v>0</v>
          </cell>
        </row>
        <row r="134">
          <cell r="F134">
            <v>75000</v>
          </cell>
          <cell r="T134">
            <v>1350000</v>
          </cell>
          <cell r="BD134">
            <v>5980000</v>
          </cell>
          <cell r="CF134">
            <v>0</v>
          </cell>
        </row>
        <row r="137">
          <cell r="F137">
            <v>0</v>
          </cell>
          <cell r="T137">
            <v>0</v>
          </cell>
          <cell r="BD137">
            <v>0</v>
          </cell>
          <cell r="CF137">
            <v>0</v>
          </cell>
        </row>
        <row r="138">
          <cell r="F138">
            <v>60000</v>
          </cell>
          <cell r="T138">
            <v>1150000</v>
          </cell>
          <cell r="BD138">
            <v>8000000</v>
          </cell>
          <cell r="CF138">
            <v>0</v>
          </cell>
        </row>
        <row r="139">
          <cell r="F139">
            <v>272000</v>
          </cell>
          <cell r="T139">
            <v>0</v>
          </cell>
          <cell r="BD139">
            <v>0</v>
          </cell>
          <cell r="CF139">
            <v>0</v>
          </cell>
        </row>
        <row r="140">
          <cell r="F140">
            <v>0</v>
          </cell>
          <cell r="T140">
            <v>50000</v>
          </cell>
          <cell r="BD140">
            <v>0</v>
          </cell>
          <cell r="CF140">
            <v>0</v>
          </cell>
        </row>
        <row r="143">
          <cell r="F143">
            <v>1648000</v>
          </cell>
          <cell r="T143">
            <v>54588000</v>
          </cell>
          <cell r="BD143">
            <v>24750000</v>
          </cell>
          <cell r="CF143">
            <v>0</v>
          </cell>
        </row>
        <row r="144">
          <cell r="F144">
            <v>0</v>
          </cell>
          <cell r="T144">
            <v>84260750</v>
          </cell>
          <cell r="BD144">
            <v>116776950</v>
          </cell>
          <cell r="CF144">
            <v>0</v>
          </cell>
        </row>
        <row r="145">
          <cell r="F145">
            <v>100000</v>
          </cell>
          <cell r="T145">
            <v>4958000</v>
          </cell>
          <cell r="BD145">
            <v>0</v>
          </cell>
          <cell r="CF145">
            <v>0</v>
          </cell>
        </row>
        <row r="146">
          <cell r="F146">
            <v>710000</v>
          </cell>
          <cell r="T146">
            <v>41121000</v>
          </cell>
          <cell r="BD146">
            <v>350000</v>
          </cell>
          <cell r="CF146">
            <v>0</v>
          </cell>
        </row>
        <row r="147">
          <cell r="F147">
            <v>300000</v>
          </cell>
          <cell r="T147">
            <v>1430000</v>
          </cell>
          <cell r="BD147">
            <v>50000</v>
          </cell>
          <cell r="CF147">
            <v>0</v>
          </cell>
        </row>
        <row r="148">
          <cell r="F148">
            <v>5000</v>
          </cell>
          <cell r="T148">
            <v>3585000</v>
          </cell>
          <cell r="BD148">
            <v>150000</v>
          </cell>
          <cell r="CF148">
            <v>0</v>
          </cell>
        </row>
        <row r="149">
          <cell r="F149">
            <v>30000</v>
          </cell>
          <cell r="T149">
            <v>1463000</v>
          </cell>
          <cell r="BD149">
            <v>50000</v>
          </cell>
          <cell r="CF149">
            <v>0</v>
          </cell>
        </row>
        <row r="152">
          <cell r="F152">
            <v>2025000</v>
          </cell>
          <cell r="T152">
            <v>3030000</v>
          </cell>
          <cell r="BD152">
            <v>1800000</v>
          </cell>
          <cell r="CF152">
            <v>0</v>
          </cell>
        </row>
        <row r="153">
          <cell r="F153">
            <v>2800000</v>
          </cell>
          <cell r="T153">
            <v>31471253</v>
          </cell>
          <cell r="BD153">
            <v>153700000</v>
          </cell>
          <cell r="CF153">
            <v>0</v>
          </cell>
        </row>
        <row r="156">
          <cell r="F156">
            <v>2997400</v>
          </cell>
          <cell r="T156">
            <v>2365734</v>
          </cell>
          <cell r="BD156">
            <v>1150000</v>
          </cell>
          <cell r="CF156">
            <v>0</v>
          </cell>
        </row>
        <row r="157">
          <cell r="F157">
            <v>0</v>
          </cell>
          <cell r="T157">
            <v>250000</v>
          </cell>
          <cell r="BD157">
            <v>0</v>
          </cell>
          <cell r="CF157">
            <v>0</v>
          </cell>
        </row>
        <row r="158">
          <cell r="F158">
            <v>10150250</v>
          </cell>
          <cell r="T158">
            <v>6349675</v>
          </cell>
          <cell r="BD158">
            <v>1500000</v>
          </cell>
          <cell r="CF158">
            <v>0</v>
          </cell>
        </row>
        <row r="159">
          <cell r="F159">
            <v>3828000</v>
          </cell>
          <cell r="T159">
            <v>19123000</v>
          </cell>
          <cell r="BD159">
            <v>1610000</v>
          </cell>
          <cell r="CF159">
            <v>0</v>
          </cell>
        </row>
        <row r="160">
          <cell r="F160">
            <v>3298000</v>
          </cell>
          <cell r="T160">
            <v>6745000</v>
          </cell>
          <cell r="BD160">
            <v>0</v>
          </cell>
          <cell r="CF160">
            <v>0</v>
          </cell>
        </row>
        <row r="161">
          <cell r="F161">
            <v>630000</v>
          </cell>
          <cell r="T161">
            <v>8984500</v>
          </cell>
          <cell r="BD161">
            <v>2005000</v>
          </cell>
          <cell r="CF161">
            <v>0</v>
          </cell>
        </row>
        <row r="162">
          <cell r="F162">
            <v>200000</v>
          </cell>
          <cell r="T162">
            <v>2350000</v>
          </cell>
          <cell r="BD162">
            <v>0</v>
          </cell>
          <cell r="CF162">
            <v>0</v>
          </cell>
        </row>
        <row r="163">
          <cell r="F163">
            <v>553000</v>
          </cell>
          <cell r="T163">
            <v>3495000</v>
          </cell>
          <cell r="BD163">
            <v>300000</v>
          </cell>
          <cell r="CF163">
            <v>0</v>
          </cell>
        </row>
        <row r="166">
          <cell r="D166">
            <v>194398079.40000001</v>
          </cell>
          <cell r="F166">
            <v>4239000</v>
          </cell>
          <cell r="T166">
            <v>190109079.40000001</v>
          </cell>
          <cell r="BD166">
            <v>50000</v>
          </cell>
          <cell r="CF166">
            <v>0</v>
          </cell>
        </row>
        <row r="168">
          <cell r="C168">
            <v>192430079.40000001</v>
          </cell>
        </row>
        <row r="169">
          <cell r="F169">
            <v>214000</v>
          </cell>
          <cell r="T169">
            <v>119281079.40000001</v>
          </cell>
          <cell r="BD169">
            <v>0</v>
          </cell>
          <cell r="CF169">
            <v>0</v>
          </cell>
        </row>
        <row r="176">
          <cell r="F176">
            <v>3440000</v>
          </cell>
          <cell r="T176">
            <v>69445000</v>
          </cell>
          <cell r="BD176">
            <v>50000</v>
          </cell>
          <cell r="CF176">
            <v>0</v>
          </cell>
        </row>
        <row r="187">
          <cell r="F187">
            <v>585000</v>
          </cell>
          <cell r="T187">
            <v>1383000</v>
          </cell>
          <cell r="BD187">
            <v>0</v>
          </cell>
          <cell r="CF187">
            <v>0</v>
          </cell>
        </row>
        <row r="190">
          <cell r="D190">
            <v>1099249712</v>
          </cell>
          <cell r="F190">
            <v>73601895</v>
          </cell>
          <cell r="T190">
            <v>36449817</v>
          </cell>
          <cell r="U190">
            <v>0</v>
          </cell>
          <cell r="V190">
            <v>0</v>
          </cell>
          <cell r="X190">
            <v>4379817</v>
          </cell>
          <cell r="Y190">
            <v>0</v>
          </cell>
          <cell r="Z190">
            <v>0</v>
          </cell>
          <cell r="AB190">
            <v>0</v>
          </cell>
          <cell r="AQ190">
            <v>0</v>
          </cell>
          <cell r="AR190">
            <v>0</v>
          </cell>
          <cell r="AS190">
            <v>0</v>
          </cell>
          <cell r="BD190">
            <v>989198000</v>
          </cell>
          <cell r="CF190">
            <v>0</v>
          </cell>
        </row>
        <row r="193">
          <cell r="F193">
            <v>0</v>
          </cell>
          <cell r="T193">
            <v>2980000</v>
          </cell>
          <cell r="BD193">
            <v>2000000</v>
          </cell>
          <cell r="CF193">
            <v>0</v>
          </cell>
        </row>
        <row r="194">
          <cell r="F194">
            <v>21600000</v>
          </cell>
          <cell r="T194">
            <v>0</v>
          </cell>
          <cell r="BD194">
            <v>0</v>
          </cell>
          <cell r="CF194">
            <v>0</v>
          </cell>
        </row>
        <row r="195">
          <cell r="F195">
            <v>293610</v>
          </cell>
          <cell r="T195">
            <v>540000</v>
          </cell>
          <cell r="BD195">
            <v>100000</v>
          </cell>
          <cell r="CF195">
            <v>0</v>
          </cell>
        </row>
        <row r="196">
          <cell r="F196">
            <v>6790285</v>
          </cell>
          <cell r="T196">
            <v>2255000</v>
          </cell>
          <cell r="BD196">
            <v>2500000</v>
          </cell>
          <cell r="CF196">
            <v>0</v>
          </cell>
        </row>
        <row r="197">
          <cell r="F197">
            <v>35908050</v>
          </cell>
          <cell r="T197">
            <v>5000000</v>
          </cell>
          <cell r="BD197">
            <v>1198000</v>
          </cell>
          <cell r="CF197">
            <v>0</v>
          </cell>
        </row>
        <row r="198">
          <cell r="F198">
            <v>350000</v>
          </cell>
          <cell r="T198">
            <v>0</v>
          </cell>
          <cell r="BD198">
            <v>0</v>
          </cell>
          <cell r="CF198">
            <v>0</v>
          </cell>
        </row>
        <row r="199">
          <cell r="F199">
            <v>0</v>
          </cell>
          <cell r="T199">
            <v>10800000</v>
          </cell>
          <cell r="BD199">
            <v>0</v>
          </cell>
          <cell r="CF199">
            <v>0</v>
          </cell>
        </row>
        <row r="200">
          <cell r="F200">
            <v>2509950</v>
          </cell>
          <cell r="T200">
            <v>9095000</v>
          </cell>
          <cell r="BD200">
            <v>0</v>
          </cell>
          <cell r="CF200">
            <v>0</v>
          </cell>
        </row>
        <row r="203">
          <cell r="F203">
            <v>0</v>
          </cell>
          <cell r="T203">
            <v>3379817</v>
          </cell>
          <cell r="BD203">
            <v>160000000</v>
          </cell>
          <cell r="CF203">
            <v>0</v>
          </cell>
        </row>
        <row r="204">
          <cell r="F204">
            <v>0</v>
          </cell>
          <cell r="T204">
            <v>2400000</v>
          </cell>
          <cell r="BD204">
            <v>15000000</v>
          </cell>
          <cell r="CF204">
            <v>0</v>
          </cell>
        </row>
        <row r="205">
          <cell r="F205">
            <v>0</v>
          </cell>
          <cell r="T205">
            <v>0</v>
          </cell>
          <cell r="BD205">
            <v>0</v>
          </cell>
          <cell r="CF205">
            <v>0</v>
          </cell>
        </row>
        <row r="206">
          <cell r="F206">
            <v>0</v>
          </cell>
          <cell r="T206">
            <v>0</v>
          </cell>
          <cell r="BD206">
            <v>0</v>
          </cell>
          <cell r="CF206">
            <v>0</v>
          </cell>
        </row>
        <row r="207">
          <cell r="F207">
            <v>0</v>
          </cell>
          <cell r="T207">
            <v>0</v>
          </cell>
          <cell r="BD207">
            <v>0</v>
          </cell>
          <cell r="CF207">
            <v>0</v>
          </cell>
        </row>
        <row r="208">
          <cell r="F208">
            <v>0</v>
          </cell>
          <cell r="T208">
            <v>0</v>
          </cell>
          <cell r="BD208">
            <v>0</v>
          </cell>
          <cell r="CF208">
            <v>0</v>
          </cell>
        </row>
        <row r="209">
          <cell r="F209">
            <v>0</v>
          </cell>
          <cell r="T209">
            <v>0</v>
          </cell>
          <cell r="BD209">
            <v>0</v>
          </cell>
          <cell r="CF209">
            <v>0</v>
          </cell>
        </row>
        <row r="210">
          <cell r="F210">
            <v>0</v>
          </cell>
          <cell r="T210">
            <v>0</v>
          </cell>
          <cell r="BD210">
            <v>758400000</v>
          </cell>
          <cell r="CF210">
            <v>0</v>
          </cell>
        </row>
        <row r="213">
          <cell r="F213">
            <v>0</v>
          </cell>
          <cell r="T213">
            <v>0</v>
          </cell>
          <cell r="BD213">
            <v>50000000</v>
          </cell>
          <cell r="CF213">
            <v>0</v>
          </cell>
        </row>
        <row r="214">
          <cell r="F214">
            <v>0</v>
          </cell>
          <cell r="T214">
            <v>0</v>
          </cell>
          <cell r="BD214">
            <v>0</v>
          </cell>
          <cell r="CF214">
            <v>0</v>
          </cell>
        </row>
        <row r="215">
          <cell r="F215">
            <v>0</v>
          </cell>
          <cell r="T215">
            <v>0</v>
          </cell>
          <cell r="BD215">
            <v>0</v>
          </cell>
          <cell r="CF215">
            <v>0</v>
          </cell>
        </row>
        <row r="218">
          <cell r="F218">
            <v>0</v>
          </cell>
          <cell r="T218">
            <v>0</v>
          </cell>
          <cell r="BD218">
            <v>0</v>
          </cell>
          <cell r="CF218">
            <v>0</v>
          </cell>
        </row>
        <row r="219">
          <cell r="F219">
            <v>0</v>
          </cell>
          <cell r="T219">
            <v>0</v>
          </cell>
          <cell r="BD219">
            <v>0</v>
          </cell>
          <cell r="CF219">
            <v>0</v>
          </cell>
        </row>
        <row r="220">
          <cell r="F220">
            <v>6150000</v>
          </cell>
          <cell r="T220">
            <v>0</v>
          </cell>
          <cell r="BD220">
            <v>0</v>
          </cell>
          <cell r="CF220">
            <v>0</v>
          </cell>
        </row>
        <row r="221">
          <cell r="F221">
            <v>0</v>
          </cell>
          <cell r="T221">
            <v>0</v>
          </cell>
          <cell r="BD221">
            <v>0</v>
          </cell>
          <cell r="CF221">
            <v>0</v>
          </cell>
        </row>
        <row r="224">
          <cell r="D224">
            <v>449377669</v>
          </cell>
          <cell r="F224">
            <v>403688669</v>
          </cell>
          <cell r="T224">
            <v>13393000</v>
          </cell>
          <cell r="BD224">
            <v>32296000</v>
          </cell>
          <cell r="CF224">
            <v>0</v>
          </cell>
        </row>
        <row r="227">
          <cell r="F227">
            <v>10800000</v>
          </cell>
          <cell r="T227">
            <v>0</v>
          </cell>
          <cell r="BD227">
            <v>0</v>
          </cell>
          <cell r="CF227">
            <v>0</v>
          </cell>
        </row>
        <row r="230">
          <cell r="F230">
            <v>34515240</v>
          </cell>
          <cell r="T230">
            <v>0</v>
          </cell>
          <cell r="BD230">
            <v>0</v>
          </cell>
          <cell r="CF230">
            <v>0</v>
          </cell>
        </row>
        <row r="234">
          <cell r="F234">
            <v>138664363</v>
          </cell>
          <cell r="T234">
            <v>0</v>
          </cell>
          <cell r="BD234">
            <v>0</v>
          </cell>
          <cell r="CF234">
            <v>0</v>
          </cell>
        </row>
        <row r="235">
          <cell r="R235">
            <v>30663483</v>
          </cell>
        </row>
        <row r="239">
          <cell r="F239">
            <v>151553895</v>
          </cell>
          <cell r="T239">
            <v>0</v>
          </cell>
          <cell r="BD239">
            <v>0</v>
          </cell>
          <cell r="CF239">
            <v>0</v>
          </cell>
        </row>
        <row r="240">
          <cell r="R240">
            <v>151553895</v>
          </cell>
        </row>
        <row r="244">
          <cell r="F244">
            <v>2000000</v>
          </cell>
          <cell r="T244">
            <v>0</v>
          </cell>
          <cell r="BD244">
            <v>0</v>
          </cell>
          <cell r="CF244">
            <v>0</v>
          </cell>
        </row>
        <row r="245">
          <cell r="F245">
            <v>0</v>
          </cell>
          <cell r="T245">
            <v>0</v>
          </cell>
          <cell r="BD245">
            <v>0</v>
          </cell>
          <cell r="CF245">
            <v>0</v>
          </cell>
        </row>
        <row r="246">
          <cell r="F246">
            <v>6911000</v>
          </cell>
          <cell r="T246">
            <v>7193000</v>
          </cell>
          <cell r="BD246">
            <v>11796000</v>
          </cell>
          <cell r="CF246">
            <v>0</v>
          </cell>
        </row>
        <row r="249">
          <cell r="F249">
            <v>31560128</v>
          </cell>
          <cell r="T249">
            <v>6200000</v>
          </cell>
          <cell r="BD249">
            <v>20500000</v>
          </cell>
          <cell r="CF249">
            <v>0</v>
          </cell>
        </row>
        <row r="250">
          <cell r="F250">
            <v>0</v>
          </cell>
          <cell r="T250">
            <v>0</v>
          </cell>
          <cell r="BD250">
            <v>0</v>
          </cell>
          <cell r="CF250">
            <v>0</v>
          </cell>
        </row>
        <row r="253">
          <cell r="F253">
            <v>25684043</v>
          </cell>
          <cell r="T253">
            <v>0</v>
          </cell>
          <cell r="BD253">
            <v>0</v>
          </cell>
          <cell r="CF253">
            <v>0</v>
          </cell>
        </row>
        <row r="254">
          <cell r="C254">
            <v>25684043</v>
          </cell>
          <cell r="R254">
            <v>25684043</v>
          </cell>
        </row>
        <row r="256">
          <cell r="F256">
            <v>0</v>
          </cell>
          <cell r="T256">
            <v>0</v>
          </cell>
          <cell r="BD256">
            <v>0</v>
          </cell>
          <cell r="CF256">
            <v>0</v>
          </cell>
        </row>
        <row r="259">
          <cell r="F259">
            <v>0</v>
          </cell>
          <cell r="T259">
            <v>0</v>
          </cell>
          <cell r="BD259">
            <v>0</v>
          </cell>
        </row>
        <row r="263">
          <cell r="F263">
            <v>0</v>
          </cell>
          <cell r="T263">
            <v>0</v>
          </cell>
          <cell r="BD263">
            <v>0</v>
          </cell>
          <cell r="CF263">
            <v>0</v>
          </cell>
        </row>
        <row r="267">
          <cell r="F267">
            <v>0</v>
          </cell>
          <cell r="T267">
            <v>0</v>
          </cell>
          <cell r="BD267">
            <v>0</v>
          </cell>
          <cell r="CF267">
            <v>0</v>
          </cell>
        </row>
        <row r="268">
          <cell r="F268">
            <v>2000000</v>
          </cell>
          <cell r="T268">
            <v>0</v>
          </cell>
          <cell r="BD268">
            <v>0</v>
          </cell>
          <cell r="CF268">
            <v>0</v>
          </cell>
        </row>
        <row r="271">
          <cell r="D271">
            <v>13325300</v>
          </cell>
          <cell r="F271">
            <v>13325300</v>
          </cell>
          <cell r="T271">
            <v>0</v>
          </cell>
          <cell r="BD271">
            <v>0</v>
          </cell>
          <cell r="CF271">
            <v>0</v>
          </cell>
        </row>
        <row r="274">
          <cell r="F274">
            <v>13324500</v>
          </cell>
          <cell r="T274">
            <v>0</v>
          </cell>
          <cell r="BD274">
            <v>0</v>
          </cell>
          <cell r="CF274">
            <v>0</v>
          </cell>
        </row>
        <row r="277">
          <cell r="F277">
            <v>160</v>
          </cell>
          <cell r="T277">
            <v>0</v>
          </cell>
          <cell r="BD277">
            <v>0</v>
          </cell>
          <cell r="CF277">
            <v>0</v>
          </cell>
        </row>
        <row r="280">
          <cell r="F280">
            <v>640</v>
          </cell>
          <cell r="T280">
            <v>0</v>
          </cell>
          <cell r="BD280">
            <v>0</v>
          </cell>
          <cell r="CF280">
            <v>0</v>
          </cell>
        </row>
        <row r="284">
          <cell r="D284">
            <v>103422000</v>
          </cell>
          <cell r="F284">
            <v>37658000</v>
          </cell>
          <cell r="T284">
            <v>64064000</v>
          </cell>
          <cell r="U284">
            <v>0</v>
          </cell>
          <cell r="V284">
            <v>16790000</v>
          </cell>
          <cell r="X284">
            <v>0</v>
          </cell>
          <cell r="Y284">
            <v>0</v>
          </cell>
          <cell r="Z284">
            <v>0</v>
          </cell>
          <cell r="AB284">
            <v>0</v>
          </cell>
          <cell r="AQ284">
            <v>0</v>
          </cell>
          <cell r="AR284">
            <v>0</v>
          </cell>
          <cell r="AS284">
            <v>47274000</v>
          </cell>
          <cell r="BD284">
            <v>1700000</v>
          </cell>
          <cell r="CF284">
            <v>0</v>
          </cell>
        </row>
        <row r="286">
          <cell r="C286">
            <v>103422000</v>
          </cell>
        </row>
        <row r="287">
          <cell r="F287">
            <v>6098000</v>
          </cell>
          <cell r="T287">
            <v>17293000</v>
          </cell>
          <cell r="BD287">
            <v>0</v>
          </cell>
          <cell r="CF287">
            <v>0</v>
          </cell>
        </row>
        <row r="295">
          <cell r="F295">
            <v>31560000</v>
          </cell>
          <cell r="T295">
            <v>46771000</v>
          </cell>
          <cell r="BD295">
            <v>1700000</v>
          </cell>
          <cell r="CF295">
            <v>0</v>
          </cell>
        </row>
        <row r="303">
          <cell r="F303">
            <v>0</v>
          </cell>
          <cell r="T303">
            <v>0</v>
          </cell>
          <cell r="BD303">
            <v>0</v>
          </cell>
          <cell r="CF303">
            <v>0</v>
          </cell>
        </row>
        <row r="306">
          <cell r="D306">
            <v>54990872</v>
          </cell>
          <cell r="F306">
            <v>3937122</v>
          </cell>
          <cell r="T306">
            <v>6053750</v>
          </cell>
          <cell r="BD306">
            <v>45000000</v>
          </cell>
          <cell r="CF306">
            <v>0</v>
          </cell>
        </row>
        <row r="309">
          <cell r="F309">
            <v>0</v>
          </cell>
          <cell r="T309">
            <v>0</v>
          </cell>
          <cell r="BD309">
            <v>0</v>
          </cell>
          <cell r="CF309">
            <v>0</v>
          </cell>
        </row>
        <row r="311">
          <cell r="F311">
            <v>3937122</v>
          </cell>
          <cell r="T311">
            <v>6053750</v>
          </cell>
          <cell r="BD311">
            <v>45000000</v>
          </cell>
          <cell r="CF311">
            <v>0</v>
          </cell>
        </row>
        <row r="339">
          <cell r="D339">
            <v>6132696500</v>
          </cell>
          <cell r="F339">
            <v>2011867876.5999999</v>
          </cell>
          <cell r="G339">
            <v>1432625796.5999999</v>
          </cell>
          <cell r="M339">
            <v>90044222</v>
          </cell>
          <cell r="N339">
            <v>71059895</v>
          </cell>
          <cell r="R339">
            <v>418137963</v>
          </cell>
          <cell r="T339">
            <v>1775465736.4000001</v>
          </cell>
          <cell r="U339">
            <v>69122155</v>
          </cell>
          <cell r="V339">
            <v>274807350</v>
          </cell>
          <cell r="W339">
            <v>38815154</v>
          </cell>
          <cell r="X339">
            <v>62707500</v>
          </cell>
          <cell r="Y339">
            <v>11236078</v>
          </cell>
          <cell r="Z339">
            <v>66132666</v>
          </cell>
          <cell r="AA339">
            <v>52764304</v>
          </cell>
          <cell r="AB339">
            <v>0</v>
          </cell>
          <cell r="AC339">
            <v>58088320</v>
          </cell>
          <cell r="AD339">
            <v>68262291</v>
          </cell>
          <cell r="AE339">
            <v>6500000</v>
          </cell>
          <cell r="AF339">
            <v>6500000</v>
          </cell>
          <cell r="AG339">
            <v>13000000</v>
          </cell>
          <cell r="AI339">
            <v>20273628</v>
          </cell>
          <cell r="AK339">
            <v>13881905</v>
          </cell>
          <cell r="AQ339">
            <v>66442477</v>
          </cell>
          <cell r="AR339">
            <v>53877738</v>
          </cell>
          <cell r="AS339">
            <v>469087191.39999998</v>
          </cell>
          <cell r="AT339">
            <v>97988282</v>
          </cell>
          <cell r="AU339">
            <v>35140330</v>
          </cell>
          <cell r="AV339">
            <v>24896500</v>
          </cell>
          <cell r="AW339">
            <v>39133889</v>
          </cell>
          <cell r="AX339">
            <v>5710500</v>
          </cell>
          <cell r="BA339">
            <v>22433061</v>
          </cell>
          <cell r="BB339">
            <v>130000000</v>
          </cell>
          <cell r="BD339">
            <v>2345362887</v>
          </cell>
          <cell r="BE339">
            <v>160000000</v>
          </cell>
          <cell r="BH339">
            <v>524686939</v>
          </cell>
          <cell r="BI339">
            <v>406080000</v>
          </cell>
          <cell r="BJ339">
            <v>34800000</v>
          </cell>
          <cell r="BK339">
            <v>72000000</v>
          </cell>
          <cell r="BL339">
            <v>15000000</v>
          </cell>
          <cell r="BM339">
            <v>33776950</v>
          </cell>
          <cell r="BN339">
            <v>0</v>
          </cell>
          <cell r="BP339">
            <v>0</v>
          </cell>
          <cell r="BQ339">
            <v>0</v>
          </cell>
          <cell r="BS339">
            <v>0</v>
          </cell>
          <cell r="BT339">
            <v>0</v>
          </cell>
          <cell r="BV339">
            <v>93118998</v>
          </cell>
          <cell r="BW339">
            <v>50000000</v>
          </cell>
          <cell r="BX339">
            <v>45000000</v>
          </cell>
          <cell r="BY339">
            <v>900900000</v>
          </cell>
          <cell r="BZ339">
            <v>10000000</v>
          </cell>
          <cell r="CA339">
            <v>0</v>
          </cell>
          <cell r="CB339">
            <v>0</v>
          </cell>
          <cell r="CD339">
            <v>0</v>
          </cell>
          <cell r="CG339">
            <v>0</v>
          </cell>
          <cell r="CJ339">
            <v>0</v>
          </cell>
          <cell r="CM339">
            <v>0</v>
          </cell>
          <cell r="CP339">
            <v>0</v>
          </cell>
        </row>
        <row r="340">
          <cell r="H340">
            <v>1432625796.5999999</v>
          </cell>
          <cell r="Z340">
            <v>118896970</v>
          </cell>
          <cell r="AC340">
            <v>191324239</v>
          </cell>
          <cell r="AJ340">
            <v>58846322</v>
          </cell>
          <cell r="AQ340">
            <v>120320215</v>
          </cell>
          <cell r="AU340">
            <v>60036830</v>
          </cell>
          <cell r="AW340">
            <v>44844389</v>
          </cell>
          <cell r="AZ340">
            <v>27433061</v>
          </cell>
          <cell r="BE340">
            <v>160000000</v>
          </cell>
          <cell r="BH340">
            <v>1086343889</v>
          </cell>
          <cell r="BV340">
            <v>1099018998</v>
          </cell>
        </row>
      </sheetData>
      <sheetData sheetId="1">
        <row r="7">
          <cell r="E7">
            <v>151553895</v>
          </cell>
        </row>
        <row r="8">
          <cell r="E8">
            <v>30663483</v>
          </cell>
        </row>
      </sheetData>
      <sheetData sheetId="2"/>
      <sheetData sheetId="3"/>
      <sheetData sheetId="4"/>
      <sheetData sheetId="5"/>
      <sheetData sheetId="6"/>
      <sheetData sheetId="7">
        <row r="2">
          <cell r="C2">
            <v>0.4249</v>
          </cell>
          <cell r="D2">
            <v>0.59450000000000003</v>
          </cell>
        </row>
        <row r="8">
          <cell r="C8">
            <v>-50350650</v>
          </cell>
          <cell r="D8">
            <v>-447658500</v>
          </cell>
        </row>
      </sheetData>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REMUNERACIONES"/>
      <sheetName val=" SUELDOS FIJOS"/>
      <sheetName val="OTRAS REMUN."/>
      <sheetName val="SALARIOS LEY 8114"/>
      <sheetName val="CONVENCION"/>
      <sheetName val="CONVENCION  (2)"/>
      <sheetName val="DIETAS "/>
      <sheetName val="SAL.ALCALDE"/>
      <sheetName val="INCENTIVOS SAL"/>
      <sheetName val="RELACION CONTRA "/>
      <sheetName val="JORNALES"/>
      <sheetName val="PROHIB."/>
      <sheetName val="DEDICAC."/>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REMUNERACIONES"/>
      <sheetName val=" SUELDOS FIJOS"/>
      <sheetName val="OTRAS REMUN."/>
      <sheetName val="SALARIOS LEY 8114"/>
      <sheetName val="CONVENCION  (2)"/>
      <sheetName val="CONVENCION"/>
      <sheetName val="SAL.ALCALDE"/>
      <sheetName val="DIETAS "/>
      <sheetName val="INCENTIVOS SAL"/>
      <sheetName val="RELACION CONTRA "/>
      <sheetName val="PROHIB."/>
      <sheetName val="DEDICAC."/>
      <sheetName val="JORNALES OCAS"/>
    </sheetNames>
    <sheetDataSet>
      <sheetData sheetId="0"/>
      <sheetData sheetId="1" refreshError="1"/>
      <sheetData sheetId="2" refreshError="1"/>
      <sheetData sheetId="3" refreshError="1"/>
      <sheetData sheetId="4"/>
      <sheetData sheetId="5"/>
      <sheetData sheetId="6"/>
      <sheetData sheetId="7" refreshError="1"/>
      <sheetData sheetId="8"/>
      <sheetData sheetId="9">
        <row r="1">
          <cell r="A1" t="str">
            <v>Municipalidad de Pérez Zeledón</v>
          </cell>
        </row>
      </sheetData>
      <sheetData sheetId="10"/>
      <sheetData sheetId="1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
      <sheetName val="CALCULOS ESTIM."/>
      <sheetName val="ANEXOS"/>
      <sheetName val="ING. PROPIOS Y TRANS."/>
      <sheetName val="INCREM. INGRESOS (2)"/>
      <sheetName val="INCREM. INGRESOS corrientes"/>
      <sheetName val="ING. PROPIOS Y TRANS. (2)"/>
      <sheetName val="ING. LIBRES Y ESPEC."/>
      <sheetName val="ESPECIFICOS"/>
      <sheetName val="INFORM."/>
      <sheetName val="L.8114"/>
      <sheetName val="PARQUIMETROS"/>
      <sheetName val="matadero"/>
      <sheetName val="cementerio"/>
    </sheetNames>
    <sheetDataSet>
      <sheetData sheetId="0">
        <row r="15">
          <cell r="F15">
            <v>1080008000</v>
          </cell>
        </row>
        <row r="16">
          <cell r="D16" t="str">
            <v>Impuesto sobre la propiedad de bienes inmuebles, Ley No. 7729</v>
          </cell>
          <cell r="E16">
            <v>1080000000</v>
          </cell>
        </row>
        <row r="17">
          <cell r="D17" t="str">
            <v>Impuesto sobre la propiedad de bienes inmuebles, Ley No. 7509</v>
          </cell>
          <cell r="E17">
            <v>8000</v>
          </cell>
        </row>
        <row r="19">
          <cell r="F19">
            <v>50000</v>
          </cell>
        </row>
        <row r="22">
          <cell r="F22">
            <v>35000000</v>
          </cell>
        </row>
        <row r="30">
          <cell r="F30">
            <v>1350000</v>
          </cell>
        </row>
        <row r="31">
          <cell r="D31" t="str">
            <v>Impuesto sobre el cemento.</v>
          </cell>
          <cell r="E31">
            <v>1350000</v>
          </cell>
        </row>
        <row r="33">
          <cell r="E33">
            <v>142000000</v>
          </cell>
          <cell r="F33">
            <v>142000000</v>
          </cell>
        </row>
        <row r="38">
          <cell r="F38">
            <v>25000000</v>
          </cell>
        </row>
        <row r="39">
          <cell r="D39" t="str">
            <v>Impuesto sobre espectáculos públicos 6%</v>
          </cell>
          <cell r="E39">
            <v>13000000</v>
          </cell>
        </row>
        <row r="40">
          <cell r="E40">
            <v>12000000</v>
          </cell>
        </row>
        <row r="45">
          <cell r="F45">
            <v>1256000000</v>
          </cell>
        </row>
        <row r="47">
          <cell r="E47">
            <v>980000000</v>
          </cell>
        </row>
        <row r="48">
          <cell r="E48">
            <v>276000000</v>
          </cell>
        </row>
        <row r="52">
          <cell r="F52">
            <v>101150000</v>
          </cell>
        </row>
        <row r="53">
          <cell r="E53">
            <v>80000000</v>
          </cell>
        </row>
        <row r="54">
          <cell r="D54" t="str">
            <v>Timbre Pro-parques Nacionales.</v>
          </cell>
          <cell r="E54">
            <v>21150000</v>
          </cell>
        </row>
        <row r="63">
          <cell r="F63">
            <v>250000</v>
          </cell>
        </row>
        <row r="73">
          <cell r="F73">
            <v>9000</v>
          </cell>
        </row>
        <row r="82">
          <cell r="F82">
            <v>107300000</v>
          </cell>
        </row>
        <row r="83">
          <cell r="E83">
            <v>56500000</v>
          </cell>
        </row>
        <row r="84">
          <cell r="E84">
            <v>48500000</v>
          </cell>
        </row>
        <row r="85">
          <cell r="E85">
            <v>2300000</v>
          </cell>
        </row>
        <row r="92">
          <cell r="D92" t="str">
            <v>Servicio de cementerio</v>
          </cell>
          <cell r="F92">
            <v>69675000</v>
          </cell>
        </row>
        <row r="97">
          <cell r="F97">
            <v>871500000</v>
          </cell>
        </row>
        <row r="98">
          <cell r="D98" t="str">
            <v>Servicios de recolección de basura</v>
          </cell>
          <cell r="E98">
            <v>753000000</v>
          </cell>
        </row>
        <row r="99">
          <cell r="D99" t="str">
            <v>Servicios de aseo de vías y sitios públicos</v>
          </cell>
          <cell r="E99">
            <v>118500000</v>
          </cell>
        </row>
        <row r="100">
          <cell r="D100" t="str">
            <v>Servicios de depósito y tratamiento de basura</v>
          </cell>
          <cell r="E100">
            <v>0</v>
          </cell>
        </row>
        <row r="102">
          <cell r="F102">
            <v>0</v>
          </cell>
        </row>
        <row r="103">
          <cell r="D103" t="str">
            <v>Servicios de matadero</v>
          </cell>
          <cell r="E103">
            <v>0</v>
          </cell>
        </row>
        <row r="113">
          <cell r="F113">
            <v>16500000</v>
          </cell>
        </row>
        <row r="118">
          <cell r="F118">
            <v>0</v>
          </cell>
        </row>
        <row r="121">
          <cell r="D121" t="str">
            <v>Venta de otros servicios</v>
          </cell>
          <cell r="F121">
            <v>0</v>
          </cell>
        </row>
        <row r="122">
          <cell r="E122">
            <v>0</v>
          </cell>
        </row>
        <row r="128">
          <cell r="F128">
            <v>38000000</v>
          </cell>
        </row>
        <row r="129">
          <cell r="D129" t="str">
            <v>Derechos de estacionamiento y terminales</v>
          </cell>
          <cell r="E129">
            <v>10500000</v>
          </cell>
        </row>
        <row r="130">
          <cell r="D130" t="str">
            <v>Parquímetros</v>
          </cell>
          <cell r="E130">
            <v>27500000</v>
          </cell>
        </row>
        <row r="135">
          <cell r="F135">
            <v>2200000</v>
          </cell>
        </row>
        <row r="136">
          <cell r="E136">
            <v>2200000</v>
          </cell>
        </row>
        <row r="178">
          <cell r="D178" t="str">
            <v>Multas de tránsito</v>
          </cell>
          <cell r="F178">
            <v>90000000</v>
          </cell>
        </row>
        <row r="179">
          <cell r="E179">
            <v>90000000</v>
          </cell>
        </row>
        <row r="181">
          <cell r="E181">
            <v>7000000</v>
          </cell>
          <cell r="F181">
            <v>7000000</v>
          </cell>
        </row>
        <row r="183">
          <cell r="F183">
            <v>35350000</v>
          </cell>
        </row>
        <row r="184">
          <cell r="E184">
            <v>35350000</v>
          </cell>
        </row>
        <row r="192">
          <cell r="E192">
            <v>39456990</v>
          </cell>
          <cell r="F192">
            <v>39456990</v>
          </cell>
        </row>
        <row r="193">
          <cell r="E193">
            <v>18000000</v>
          </cell>
          <cell r="F193">
            <v>18000000</v>
          </cell>
        </row>
        <row r="198">
          <cell r="F198">
            <v>150000</v>
          </cell>
        </row>
        <row r="199">
          <cell r="E199">
            <v>150000</v>
          </cell>
        </row>
        <row r="210">
          <cell r="F210">
            <v>27763159</v>
          </cell>
        </row>
        <row r="211">
          <cell r="D211" t="str">
            <v>Aporte fondos Consejo Seguridad Vial</v>
          </cell>
          <cell r="E211">
            <v>24896500</v>
          </cell>
        </row>
        <row r="212">
          <cell r="D212" t="str">
            <v>Aporte Fondos Consejo Nacional de la Política Pública de la Persona Joven</v>
          </cell>
          <cell r="E212">
            <v>2866659</v>
          </cell>
        </row>
        <row r="215">
          <cell r="F215">
            <v>24307401</v>
          </cell>
        </row>
        <row r="216">
          <cell r="D216" t="str">
            <v>Aporte IFAM licores nacionales y extranjeros</v>
          </cell>
          <cell r="E216">
            <v>24307401</v>
          </cell>
        </row>
        <row r="218">
          <cell r="F218">
            <v>0</v>
          </cell>
        </row>
        <row r="219">
          <cell r="E219">
            <v>0</v>
          </cell>
        </row>
        <row r="221">
          <cell r="F221">
            <v>0</v>
          </cell>
        </row>
        <row r="225">
          <cell r="E225">
            <v>0</v>
          </cell>
        </row>
        <row r="226">
          <cell r="E226">
            <v>0</v>
          </cell>
        </row>
        <row r="227">
          <cell r="E227">
            <v>0</v>
          </cell>
        </row>
        <row r="230">
          <cell r="F230">
            <v>0</v>
          </cell>
        </row>
        <row r="231">
          <cell r="E231">
            <v>0</v>
          </cell>
        </row>
        <row r="245">
          <cell r="F245">
            <v>0</v>
          </cell>
        </row>
        <row r="252">
          <cell r="F252">
            <v>1060000000</v>
          </cell>
        </row>
        <row r="253">
          <cell r="D253" t="str">
            <v>Recursos ley de simpliflicación y eficiencia tributaria, ley 8114.</v>
          </cell>
          <cell r="E253">
            <v>1060000000</v>
          </cell>
        </row>
        <row r="255">
          <cell r="F255">
            <v>0</v>
          </cell>
        </row>
        <row r="258">
          <cell r="F258">
            <v>3776950</v>
          </cell>
        </row>
        <row r="259">
          <cell r="D259" t="str">
            <v>Aporte IFAM para programas de mantenimiento y conservación calles urbanas y caminos vecinales, ley 6909</v>
          </cell>
          <cell r="E259">
            <v>3776950</v>
          </cell>
        </row>
        <row r="263">
          <cell r="F263">
            <v>5051796500</v>
          </cell>
        </row>
        <row r="266">
          <cell r="F266">
            <v>4688000000</v>
          </cell>
        </row>
        <row r="271">
          <cell r="F271">
            <v>1080900000</v>
          </cell>
        </row>
        <row r="279">
          <cell r="F279">
            <v>0</v>
          </cell>
        </row>
        <row r="280">
          <cell r="D280" t="str">
            <v>Aporte Fondos Mideplan, para elaboración plan regulador.</v>
          </cell>
        </row>
        <row r="289">
          <cell r="F289">
            <v>900900000</v>
          </cell>
        </row>
        <row r="291">
          <cell r="D291" t="str">
            <v>Préstamo IFAM Nº 1-RS-1368-0612 , para construcción relleno sanitario.</v>
          </cell>
          <cell r="E291">
            <v>900900000</v>
          </cell>
        </row>
        <row r="292">
          <cell r="D292" t="str">
            <v>Préstamo IFAM Nº          para</v>
          </cell>
        </row>
        <row r="295">
          <cell r="D295" t="str">
            <v>Préstamo BNCR, para Mejoras Matadero Municipal.</v>
          </cell>
        </row>
        <row r="296">
          <cell r="D296" t="str">
            <v>Préstamo BNCR, para Construcción Relleno Sanitario.</v>
          </cell>
        </row>
        <row r="303">
          <cell r="F303">
            <v>180000000</v>
          </cell>
        </row>
        <row r="304">
          <cell r="D304" t="str">
            <v>Aporte FODESAF para Construcción y Equipamiento del Centro de Cuido Infantil.</v>
          </cell>
          <cell r="E304">
            <v>180000000</v>
          </cell>
        </row>
        <row r="305">
          <cell r="D305" t="str">
            <v>FondoPréstamo BNCR, para Mejoras Matadero Municipal.</v>
          </cell>
        </row>
        <row r="308">
          <cell r="F308">
            <v>6132696500</v>
          </cell>
        </row>
      </sheetData>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REMUNERACIONES"/>
      <sheetName val=" SUELDOS FIJOS"/>
      <sheetName val="OTRAS REMUN."/>
      <sheetName val="SALARIOS LEY 8114"/>
      <sheetName val="CONVENCION"/>
      <sheetName val="CONVENCION  (2)"/>
      <sheetName val="DIETAS "/>
      <sheetName val="SAL.ALCALDE"/>
      <sheetName val="INCENTIVOS SAL"/>
      <sheetName val="JORNALES"/>
      <sheetName val="PROHIB."/>
      <sheetName val="DEDICAC."/>
    </sheetNames>
    <sheetDataSet>
      <sheetData sheetId="0" refreshError="1"/>
      <sheetData sheetId="1">
        <row r="40">
          <cell r="D40">
            <v>327512020</v>
          </cell>
          <cell r="E40">
            <v>160071432</v>
          </cell>
          <cell r="F40">
            <v>41501844</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3">
          <cell r="G53">
            <v>65992080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ESTIMACION"/>
      <sheetName val="CALCULOS ESTIM."/>
      <sheetName val="COMPORTAMIENTO INGR. (2)"/>
      <sheetName val="ANEXOS"/>
      <sheetName val="INCREM. INGRESOS corrientes"/>
      <sheetName val="INCREM. INGRESOS"/>
      <sheetName val="ING. PROPIOS Y TRANS."/>
      <sheetName val="ING. PROPIOS Y TRANS. (2)"/>
      <sheetName val="ING. LIBRES Y ESPEC."/>
      <sheetName val="ESPECIFICOS"/>
      <sheetName val="INFORM."/>
      <sheetName val="Hoja7"/>
      <sheetName val="Hoja8"/>
      <sheetName val="Hoja9"/>
      <sheetName val="Hoja10"/>
      <sheetName val="Hoja11"/>
      <sheetName val="Hoja12"/>
      <sheetName val="Hoja13"/>
      <sheetName val="Hoja14"/>
      <sheetName val="Hoja15"/>
      <sheetName val="Hoja16"/>
      <sheetName val="INCREM. INGRESOS (2)"/>
      <sheetName val="Informe de compatibilidad"/>
      <sheetName val="comportam. ingresos"/>
      <sheetName val="L.8114"/>
      <sheetName val="descuentos"/>
    </sheetNames>
    <sheetDataSet>
      <sheetData sheetId="0" refreshError="1">
        <row r="31">
          <cell r="E31">
            <v>240000000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IMACION"/>
      <sheetName val="CALCULOS ESTIM."/>
      <sheetName val="CALCUL. 2010."/>
      <sheetName val="ANEXOS"/>
      <sheetName val="comport. ingres. 2010"/>
      <sheetName val="ING. PROPIOS Y TRANS."/>
      <sheetName val="INCREM. INGRESOS (2)"/>
      <sheetName val="INCREM. INGRESOS corrientes"/>
      <sheetName val="ING. PROPIOS Y TRANS. (2)"/>
      <sheetName val="ING. LIBRES Y ESPEC."/>
      <sheetName val="ESPECIFICOS"/>
      <sheetName val="INFORM."/>
      <sheetName val="L.8114"/>
      <sheetName val="descuentos"/>
      <sheetName val="PARQUIMET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ESTIMACION"/>
      <sheetName val="CALCULOS ESTIM."/>
      <sheetName val="ANEXOS"/>
      <sheetName val="INCREM. INGRESOS corrientes"/>
      <sheetName val="INCREM. INGRESOS"/>
      <sheetName val="ING. PROPIOS Y TRANS."/>
      <sheetName val="ING. PROPIOS Y TRANS. (2)"/>
      <sheetName val="ING. LIBRES Y ESPEC."/>
      <sheetName val="ESPECIFICOS"/>
      <sheetName val="INFORM."/>
      <sheetName val="morosidad (2)"/>
      <sheetName val="morosidad"/>
      <sheetName val="construcciones"/>
      <sheetName val="MULTA PATENTES"/>
      <sheetName val="Hoja7"/>
      <sheetName val="Hoja8"/>
      <sheetName val="Hoja9"/>
      <sheetName val="Hoja10"/>
      <sheetName val="Hoja11"/>
      <sheetName val="Hoja12"/>
      <sheetName val="Hoja13"/>
      <sheetName val="Hoja14"/>
      <sheetName val="Hoja15"/>
      <sheetName val="Hoja16"/>
      <sheetName val="ESTIMACION INGRESOS P.ORDINARIO"/>
      <sheetName val="#¡REF"/>
    </sheetNames>
    <sheetDataSet>
      <sheetData sheetId="0" refreshError="1">
        <row r="31">
          <cell r="E31">
            <v>150000000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GLOSE (2)"/>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ESTIMACION"/>
      <sheetName val="CALCULOS ESTIM."/>
      <sheetName val="COMPORTAMIENTO INGR. (2)"/>
      <sheetName val="ANEXOS"/>
      <sheetName val="INCREM. INGRESOS corrientes"/>
      <sheetName val="INCREM. INGRESOS (2)"/>
      <sheetName val="ING. PROPIOS Y TRANS."/>
      <sheetName val="ING. PROPIOS Y TRANS. (2)"/>
      <sheetName val="ING. LIBRES Y ESPEC."/>
      <sheetName val="ESPECIFICOS"/>
      <sheetName val="Hoja1"/>
      <sheetName val="INFORM."/>
      <sheetName val="Hoja7"/>
      <sheetName val="Hoja8"/>
      <sheetName val="Hoja9"/>
      <sheetName val="Hoja10"/>
      <sheetName val="Hoja11"/>
      <sheetName val="Hoja12"/>
      <sheetName val="Hoja13"/>
      <sheetName val="Hoja14"/>
      <sheetName val="Hoja15"/>
      <sheetName val="Hoja16"/>
      <sheetName val="Informe de compatibilidad"/>
    </sheetNames>
    <sheetDataSet>
      <sheetData sheetId="0" refreshError="1">
        <row r="31">
          <cell r="E31">
            <v>240000000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ESTIMACION"/>
      <sheetName val="CALCULOS ESTIM."/>
      <sheetName val="ANEXOS"/>
      <sheetName val="INCREM. INGRESOS corrientes"/>
      <sheetName val="INCREM. INGRESOS"/>
      <sheetName val="ING. PROPIOS Y TRANS."/>
      <sheetName val="ING. PROPIOS Y TRANS. (2)"/>
      <sheetName val="ING. LIBRES Y ESPEC."/>
      <sheetName val="ESPECIFICOS"/>
      <sheetName val="INFORM."/>
      <sheetName val="morosidad (2)"/>
      <sheetName val="morosidad"/>
      <sheetName val="construcciones"/>
      <sheetName val="MULTA PATENTES"/>
      <sheetName val="Hoja7"/>
      <sheetName val="Hoja8"/>
      <sheetName val="Hoja9"/>
      <sheetName val="Hoja10"/>
      <sheetName val="Hoja11"/>
      <sheetName val="Hoja12"/>
      <sheetName val="Hoja13"/>
      <sheetName val="Hoja14"/>
      <sheetName val="Hoja15"/>
      <sheetName val="Hoja16"/>
      <sheetName val="ESTIMACION INGRESOS P.ORDINARIO"/>
      <sheetName val="#¡REF"/>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ESTIMACION"/>
      <sheetName val="CALCULOS ESTIM."/>
      <sheetName val="COMPORTAMIENTO INGR. (2)"/>
      <sheetName val="ANEXOS"/>
      <sheetName val="INCREM. INGRESOS corrientes"/>
      <sheetName val="INCREM. INGRESOS (2)"/>
      <sheetName val="ING. PROPIOS Y TRANS."/>
      <sheetName val="ING. PROPIOS Y TRANS. (2)"/>
      <sheetName val="ING. LIBRES Y ESPEC."/>
      <sheetName val="ESPECIFICOS"/>
      <sheetName val="Hoja1"/>
      <sheetName val="INFORM."/>
      <sheetName val="Hoja7"/>
      <sheetName val="Hoja8"/>
      <sheetName val="Hoja9"/>
      <sheetName val="Hoja10"/>
      <sheetName val="Hoja11"/>
      <sheetName val="Hoja12"/>
      <sheetName val="Hoja13"/>
      <sheetName val="Hoja14"/>
      <sheetName val="Hoja15"/>
      <sheetName val="Hoja16"/>
      <sheetName val="Informe de compatibilidad"/>
    </sheetNames>
    <sheetDataSet>
      <sheetData sheetId="0">
        <row r="31">
          <cell r="E31">
            <v>240000000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ESTIMACION"/>
      <sheetName val="CALCULOS ESTIM."/>
      <sheetName val="ANEXOS"/>
      <sheetName val="INCREM. INGRESOS"/>
      <sheetName val="ING. PROPIOS Y TRANS."/>
      <sheetName val="ING. PROPIOS Y TRANS. (2)"/>
      <sheetName val="ING. LIBRES Y ESPEC."/>
      <sheetName val="ESPECIFICOS"/>
      <sheetName val="INFORM."/>
      <sheetName val="morosidad (2)"/>
      <sheetName val="morosidad"/>
      <sheetName val="construcciones"/>
      <sheetName val="MULTA PATENTES"/>
      <sheetName val="Hoja7"/>
      <sheetName val="Hoja8"/>
      <sheetName val="Hoja9"/>
      <sheetName val="Hoja10"/>
      <sheetName val="Hoja11"/>
      <sheetName val="Hoja12"/>
      <sheetName val="Hoja13"/>
      <sheetName val="Hoja14"/>
      <sheetName val="Hoja15"/>
      <sheetName val="Hoja16"/>
    </sheetNames>
    <sheetDataSet>
      <sheetData sheetId="0">
        <row r="31">
          <cell r="E31">
            <v>150000000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Urbano">
      <a:dk1>
        <a:sysClr val="windowText" lastClr="000000"/>
      </a:dk1>
      <a:lt1>
        <a:sysClr val="window" lastClr="FFFFFF"/>
      </a:lt1>
      <a:dk2>
        <a:srgbClr val="424456"/>
      </a:dk2>
      <a:lt2>
        <a:srgbClr val="DEDEDE"/>
      </a:lt2>
      <a:accent1>
        <a:srgbClr val="53548A"/>
      </a:accent1>
      <a:accent2>
        <a:srgbClr val="438086"/>
      </a:accent2>
      <a:accent3>
        <a:srgbClr val="A04DA3"/>
      </a:accent3>
      <a:accent4>
        <a:srgbClr val="C4652D"/>
      </a:accent4>
      <a:accent5>
        <a:srgbClr val="8B5D3D"/>
      </a:accent5>
      <a:accent6>
        <a:srgbClr val="5C92B5"/>
      </a:accent6>
      <a:hlink>
        <a:srgbClr val="67AFBD"/>
      </a:hlink>
      <a:folHlink>
        <a:srgbClr val="C2A87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5F05B-B795-4516-A53B-C886E8B50F73}">
  <sheetPr codeName="Hoja1">
    <pageSetUpPr fitToPage="1"/>
  </sheetPr>
  <dimension ref="B1:D28"/>
  <sheetViews>
    <sheetView topLeftCell="A7" workbookViewId="0">
      <selection activeCell="C13" sqref="C13"/>
    </sheetView>
  </sheetViews>
  <sheetFormatPr defaultColWidth="11" defaultRowHeight="15.75"/>
  <cols>
    <col min="1" max="1" width="2.375" style="1" customWidth="1"/>
    <col min="2" max="2" width="67" style="1" customWidth="1"/>
    <col min="3" max="3" width="11" style="1"/>
    <col min="4" max="4" width="14.125" style="1" customWidth="1"/>
    <col min="5" max="16384" width="11" style="1"/>
  </cols>
  <sheetData>
    <row r="1" spans="2:4" s="568" customFormat="1" ht="23.25">
      <c r="D1" s="670" t="s">
        <v>621</v>
      </c>
    </row>
    <row r="2" spans="2:4" s="81" customFormat="1" ht="25.5"/>
    <row r="3" spans="2:4" ht="31.5" customHeight="1"/>
    <row r="5" spans="2:4" ht="23.25" customHeight="1">
      <c r="B5" s="557" t="s">
        <v>110</v>
      </c>
    </row>
    <row r="6" spans="2:4" ht="20.25" customHeight="1"/>
    <row r="7" spans="2:4">
      <c r="C7" s="76"/>
    </row>
    <row r="8" spans="2:4" ht="55.5" customHeight="1">
      <c r="B8" s="2"/>
    </row>
    <row r="9" spans="2:4" ht="25.5">
      <c r="B9" s="2"/>
    </row>
    <row r="10" spans="2:4" ht="25.5">
      <c r="B10" s="2"/>
    </row>
    <row r="11" spans="2:4" ht="25.5">
      <c r="B11" s="2"/>
    </row>
    <row r="12" spans="2:4" ht="25.5">
      <c r="B12" s="2"/>
    </row>
    <row r="13" spans="2:4" ht="25.5">
      <c r="B13" s="2"/>
    </row>
    <row r="14" spans="2:4" ht="34.5">
      <c r="B14" s="556" t="s">
        <v>33</v>
      </c>
      <c r="C14" s="75"/>
    </row>
    <row r="15" spans="2:4" ht="36" customHeight="1">
      <c r="B15" s="556" t="s">
        <v>278</v>
      </c>
      <c r="C15" s="75"/>
    </row>
    <row r="16" spans="2:4" ht="15.75" customHeight="1">
      <c r="B16" s="74"/>
      <c r="C16" s="73"/>
    </row>
    <row r="17" spans="2:3" ht="15.75" customHeight="1">
      <c r="B17" s="74"/>
      <c r="C17" s="73"/>
    </row>
    <row r="18" spans="2:3" ht="15.75" customHeight="1">
      <c r="B18" s="74"/>
      <c r="C18" s="73"/>
    </row>
    <row r="19" spans="2:3" ht="20.25">
      <c r="B19" s="558" t="s">
        <v>1335</v>
      </c>
      <c r="C19" s="73"/>
    </row>
    <row r="20" spans="2:3" ht="22.5">
      <c r="B20" s="4"/>
    </row>
    <row r="21" spans="2:3" ht="22.5">
      <c r="B21" s="4"/>
    </row>
    <row r="22" spans="2:3" ht="22.5">
      <c r="B22" s="4"/>
    </row>
    <row r="23" spans="2:3" ht="22.5">
      <c r="B23" s="4"/>
    </row>
    <row r="24" spans="2:3" ht="22.5">
      <c r="B24" s="4"/>
    </row>
    <row r="25" spans="2:3" ht="25.5">
      <c r="B25" s="2"/>
    </row>
    <row r="26" spans="2:3" ht="25.5">
      <c r="B26" s="2"/>
    </row>
    <row r="27" spans="2:3" ht="20.25">
      <c r="B27" s="97" t="s">
        <v>279</v>
      </c>
    </row>
    <row r="28" spans="2:3" ht="38.25" customHeight="1">
      <c r="B28" s="96" t="s">
        <v>1620</v>
      </c>
    </row>
  </sheetData>
  <phoneticPr fontId="0" type="noConversion"/>
  <printOptions horizontalCentered="1"/>
  <pageMargins left="1.1811023622047245" right="0.39370078740157483" top="0.39370078740157483" bottom="0.59055118110236227" header="0" footer="0"/>
  <pageSetup scale="98" orientation="portrait" horizontalDpi="360" verticalDpi="360" r:id="rId1"/>
  <headerFooter alignWithMargins="0"/>
  <rowBreaks count="1" manualBreakCount="1">
    <brk id="1" max="16383" man="1"/>
  </rowBreaks>
  <drawing r:id="rId2"/>
  <legacyDrawing r:id="rId3"/>
  <oleObjects>
    <mc:AlternateContent xmlns:mc="http://schemas.openxmlformats.org/markup-compatibility/2006">
      <mc:Choice Requires="x14">
        <oleObject progId="MSPhotoEd.3" shapeId="1039" r:id="rId4">
          <objectPr defaultSize="0" autoPict="0" r:id="rId5">
            <anchor moveWithCells="1">
              <from>
                <xdr:col>1</xdr:col>
                <xdr:colOff>2105025</xdr:colOff>
                <xdr:row>7</xdr:row>
                <xdr:rowOff>57150</xdr:rowOff>
              </from>
              <to>
                <xdr:col>1</xdr:col>
                <xdr:colOff>3067050</xdr:colOff>
                <xdr:row>9</xdr:row>
                <xdr:rowOff>285750</xdr:rowOff>
              </to>
            </anchor>
          </objectPr>
        </oleObject>
      </mc:Choice>
      <mc:Fallback>
        <oleObject progId="MSPhotoEd.3" shapeId="103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8C17-51A7-4D84-9C97-313F69C82999}">
  <sheetPr codeName="Hoja10"/>
  <dimension ref="A1:L57"/>
  <sheetViews>
    <sheetView showGridLines="0" workbookViewId="0">
      <selection activeCell="D1" sqref="D1:H65536"/>
    </sheetView>
  </sheetViews>
  <sheetFormatPr defaultColWidth="11" defaultRowHeight="15.75"/>
  <cols>
    <col min="1" max="1" width="51.875" style="724" customWidth="1"/>
    <col min="2" max="2" width="19.25" style="726" customWidth="1"/>
    <col min="3" max="3" width="20.5" style="726" customWidth="1"/>
    <col min="4" max="4" width="16" style="921" hidden="1" customWidth="1"/>
    <col min="5" max="5" width="14.375" style="726" hidden="1" customWidth="1"/>
    <col min="6" max="8" width="0" style="726" hidden="1" customWidth="1"/>
    <col min="9" max="16384" width="11" style="726"/>
  </cols>
  <sheetData>
    <row r="1" spans="1:12" s="1313" customFormat="1" ht="28.5" thickBot="1">
      <c r="A1" s="1309" t="s">
        <v>32</v>
      </c>
      <c r="B1" s="1310"/>
      <c r="C1" s="1311" t="s">
        <v>1331</v>
      </c>
      <c r="D1" s="1312" t="s">
        <v>1207</v>
      </c>
    </row>
    <row r="2" spans="1:12" ht="9" customHeight="1">
      <c r="B2" s="725"/>
      <c r="C2" s="725"/>
    </row>
    <row r="3" spans="1:12" s="778" customFormat="1" ht="18.75" hidden="1">
      <c r="A3" s="1410"/>
      <c r="B3" s="1410"/>
      <c r="C3" s="1410"/>
      <c r="D3" s="727"/>
      <c r="E3" s="727"/>
      <c r="F3" s="727"/>
      <c r="G3" s="727"/>
      <c r="H3" s="727"/>
      <c r="I3" s="727"/>
      <c r="J3" s="727"/>
      <c r="K3" s="810"/>
      <c r="L3" s="810"/>
    </row>
    <row r="4" spans="1:12" s="773" customFormat="1" ht="18.75">
      <c r="A4" s="1411" t="s">
        <v>1020</v>
      </c>
      <c r="B4" s="1411"/>
      <c r="C4" s="1411"/>
      <c r="D4" s="774"/>
      <c r="E4" s="774"/>
      <c r="F4" s="774"/>
      <c r="G4" s="774"/>
      <c r="H4" s="774"/>
      <c r="I4" s="774"/>
      <c r="K4" s="775"/>
      <c r="L4" s="775"/>
    </row>
    <row r="5" spans="1:12" s="730" customFormat="1" ht="25.5" customHeight="1">
      <c r="A5" s="728" t="s">
        <v>1358</v>
      </c>
      <c r="B5" s="729"/>
      <c r="C5" s="729"/>
      <c r="D5" s="922"/>
    </row>
    <row r="6" spans="1:12" s="731" customFormat="1" ht="18.75">
      <c r="A6" s="1412" t="s">
        <v>1021</v>
      </c>
      <c r="B6" s="1412"/>
      <c r="C6" s="1412"/>
      <c r="D6" s="923"/>
    </row>
    <row r="7" spans="1:12" ht="8.25" customHeight="1" thickBot="1">
      <c r="A7" s="732" t="s">
        <v>1022</v>
      </c>
      <c r="B7" s="733"/>
      <c r="C7" s="734"/>
    </row>
    <row r="8" spans="1:12" s="738" customFormat="1">
      <c r="A8" s="735" t="s">
        <v>1022</v>
      </c>
      <c r="B8" s="736" t="s">
        <v>1023</v>
      </c>
      <c r="C8" s="737" t="s">
        <v>1023</v>
      </c>
      <c r="D8" s="924"/>
    </row>
    <row r="9" spans="1:12" s="738" customFormat="1" ht="16.5" thickBot="1">
      <c r="A9" s="739" t="s">
        <v>67</v>
      </c>
      <c r="B9" s="740" t="s">
        <v>1024</v>
      </c>
      <c r="C9" s="741" t="s">
        <v>163</v>
      </c>
      <c r="D9" s="924"/>
    </row>
    <row r="10" spans="1:12" ht="7.5" customHeight="1">
      <c r="A10" s="742" t="s">
        <v>1022</v>
      </c>
      <c r="B10" s="743" t="s">
        <v>1022</v>
      </c>
      <c r="C10" s="743" t="s">
        <v>1022</v>
      </c>
    </row>
    <row r="11" spans="1:12" ht="16.5" customHeight="1">
      <c r="A11" s="744" t="s">
        <v>1025</v>
      </c>
      <c r="B11" s="745"/>
      <c r="C11" s="745"/>
    </row>
    <row r="12" spans="1:12" ht="21" customHeight="1">
      <c r="A12" s="746" t="s">
        <v>1026</v>
      </c>
      <c r="B12" s="747" t="s">
        <v>1027</v>
      </c>
      <c r="C12" s="747" t="s">
        <v>1027</v>
      </c>
    </row>
    <row r="13" spans="1:12" ht="21" customHeight="1">
      <c r="A13" s="746" t="s">
        <v>1028</v>
      </c>
      <c r="B13" s="748" t="s">
        <v>1029</v>
      </c>
      <c r="C13" s="748" t="s">
        <v>1029</v>
      </c>
    </row>
    <row r="14" spans="1:12" ht="21" customHeight="1">
      <c r="A14" s="746" t="s">
        <v>1030</v>
      </c>
      <c r="B14" s="749">
        <v>587800</v>
      </c>
      <c r="C14" s="749">
        <v>608400</v>
      </c>
    </row>
    <row r="15" spans="1:12" ht="21" customHeight="1">
      <c r="A15" s="746" t="s">
        <v>1031</v>
      </c>
      <c r="B15" s="750">
        <v>37</v>
      </c>
      <c r="C15" s="750">
        <v>38</v>
      </c>
    </row>
    <row r="16" spans="1:12" ht="21" customHeight="1">
      <c r="A16" s="746" t="s">
        <v>1032</v>
      </c>
      <c r="B16" s="749">
        <f>B14*3%</f>
        <v>17634</v>
      </c>
      <c r="C16" s="749">
        <f>C14*3%</f>
        <v>18252</v>
      </c>
    </row>
    <row r="17" spans="1:6" ht="21" customHeight="1">
      <c r="A17" s="746" t="s">
        <v>1033</v>
      </c>
      <c r="B17" s="749">
        <f>B15*B16</f>
        <v>652458</v>
      </c>
      <c r="C17" s="749">
        <f>C15*C16</f>
        <v>693576</v>
      </c>
    </row>
    <row r="18" spans="1:6" ht="33.75" customHeight="1">
      <c r="A18" s="1308" t="s">
        <v>1610</v>
      </c>
      <c r="B18" s="749">
        <f>B14*65%</f>
        <v>382070</v>
      </c>
      <c r="C18" s="749">
        <f>C14*65%</f>
        <v>395460</v>
      </c>
    </row>
    <row r="19" spans="1:6" ht="21" customHeight="1">
      <c r="A19" s="746" t="s">
        <v>1140</v>
      </c>
      <c r="B19" s="749">
        <v>69405</v>
      </c>
      <c r="C19" s="749">
        <v>69475</v>
      </c>
    </row>
    <row r="20" spans="1:6" ht="21" customHeight="1">
      <c r="A20" s="746" t="s">
        <v>1606</v>
      </c>
      <c r="B20" s="749">
        <v>35100</v>
      </c>
      <c r="C20" s="749">
        <v>35100</v>
      </c>
    </row>
    <row r="21" spans="1:6" ht="6.75" customHeight="1" thickBot="1">
      <c r="A21" s="746"/>
      <c r="B21" s="751"/>
      <c r="C21" s="752"/>
    </row>
    <row r="22" spans="1:6" ht="24.75" customHeight="1" thickTop="1">
      <c r="A22" s="753" t="s">
        <v>1034</v>
      </c>
      <c r="B22" s="754">
        <f>+B14+B17+B18+B19+B20</f>
        <v>1726833</v>
      </c>
      <c r="C22" s="754">
        <f>SUM(C20,C19,C18,C17,C14)</f>
        <v>1802011</v>
      </c>
      <c r="D22" s="921">
        <f>857429.1-C22</f>
        <v>-944581.9</v>
      </c>
    </row>
    <row r="23" spans="1:6" ht="4.5" customHeight="1">
      <c r="A23" s="755"/>
      <c r="B23" s="745" t="s">
        <v>1022</v>
      </c>
      <c r="C23" s="756" t="s">
        <v>1022</v>
      </c>
    </row>
    <row r="24" spans="1:6" ht="15.75" customHeight="1">
      <c r="A24" s="753" t="s">
        <v>1035</v>
      </c>
      <c r="B24" s="745"/>
      <c r="C24" s="756"/>
    </row>
    <row r="25" spans="1:6" ht="21.75" customHeight="1">
      <c r="A25" s="974" t="s">
        <v>1054</v>
      </c>
      <c r="B25" s="749">
        <f>ROUNDUP(B22*10%,0)</f>
        <v>172684</v>
      </c>
      <c r="C25" s="749">
        <f>ROUNDUP(C22*10%,0)</f>
        <v>180202</v>
      </c>
    </row>
    <row r="26" spans="1:6" ht="43.5" customHeight="1">
      <c r="A26" s="753" t="s">
        <v>1607</v>
      </c>
      <c r="B26" s="749">
        <f>+B22+B25</f>
        <v>1899517</v>
      </c>
      <c r="C26" s="749">
        <f>+C22+C25</f>
        <v>1982213</v>
      </c>
      <c r="D26" s="921">
        <f>C26*12</f>
        <v>23786556</v>
      </c>
      <c r="E26" s="757">
        <f>C26-B26</f>
        <v>82696</v>
      </c>
    </row>
    <row r="27" spans="1:6" ht="18.75" customHeight="1">
      <c r="A27" s="753" t="s">
        <v>1035</v>
      </c>
      <c r="B27" s="745"/>
      <c r="C27" s="758"/>
      <c r="D27" s="921" t="s">
        <v>1022</v>
      </c>
      <c r="E27" s="759" t="s">
        <v>1013</v>
      </c>
    </row>
    <row r="28" spans="1:6" ht="31.5" customHeight="1" thickBot="1">
      <c r="A28" s="1308" t="s">
        <v>1608</v>
      </c>
      <c r="B28" s="760">
        <f>ROUNDUP(B26*65%,0)</f>
        <v>1234687</v>
      </c>
      <c r="C28" s="760">
        <f>ROUNDUP(C26*65%,0)</f>
        <v>1288439</v>
      </c>
      <c r="D28" s="921">
        <f>C26*65%*12</f>
        <v>15461261.399999999</v>
      </c>
      <c r="F28" s="726" t="s">
        <v>1022</v>
      </c>
    </row>
    <row r="29" spans="1:6" s="762" customFormat="1" ht="24" customHeight="1" thickTop="1">
      <c r="A29" s="761" t="s">
        <v>1036</v>
      </c>
      <c r="B29" s="754">
        <f>SUM(B26:B28)</f>
        <v>3134204</v>
      </c>
      <c r="C29" s="754">
        <f>SUM(C26:C28)</f>
        <v>3270652</v>
      </c>
      <c r="D29" s="925" t="s">
        <v>1022</v>
      </c>
    </row>
    <row r="30" spans="1:6" ht="15.75" hidden="1" customHeight="1">
      <c r="A30" s="755"/>
      <c r="B30" s="745" t="s">
        <v>1022</v>
      </c>
      <c r="C30" s="758"/>
    </row>
    <row r="31" spans="1:6" hidden="1">
      <c r="A31" s="763"/>
      <c r="B31" s="745"/>
      <c r="C31" s="758"/>
      <c r="D31" s="921">
        <f>C31*6</f>
        <v>0</v>
      </c>
    </row>
    <row r="32" spans="1:6" hidden="1">
      <c r="A32" s="744"/>
      <c r="B32" s="745"/>
      <c r="C32" s="758"/>
      <c r="D32" s="921">
        <f>C31*65%*6</f>
        <v>0</v>
      </c>
      <c r="F32" s="726" t="s">
        <v>1022</v>
      </c>
    </row>
    <row r="33" spans="1:6" ht="16.5" hidden="1" customHeight="1" thickBot="1">
      <c r="A33" s="755"/>
      <c r="B33" s="745"/>
      <c r="C33" s="764"/>
    </row>
    <row r="34" spans="1:6" ht="16.5" hidden="1" customHeight="1" thickBot="1">
      <c r="A34" s="755"/>
      <c r="B34" s="745"/>
      <c r="C34" s="764"/>
    </row>
    <row r="35" spans="1:6" ht="16.5" hidden="1" customHeight="1" thickBot="1">
      <c r="A35" s="755"/>
      <c r="B35" s="745"/>
      <c r="C35" s="764"/>
    </row>
    <row r="36" spans="1:6" ht="8.25" customHeight="1" thickBot="1">
      <c r="A36" s="765"/>
      <c r="B36" s="766"/>
      <c r="C36" s="766"/>
      <c r="D36" s="921" t="s">
        <v>1022</v>
      </c>
    </row>
    <row r="37" spans="1:6" s="770" customFormat="1" ht="19.5" customHeight="1" thickBot="1">
      <c r="A37" s="767" t="s">
        <v>1037</v>
      </c>
      <c r="B37" s="768"/>
      <c r="C37" s="769">
        <f>(C29*12)</f>
        <v>39247824</v>
      </c>
      <c r="D37" s="926">
        <f>SUM(D26:D32)</f>
        <v>39247817.399999999</v>
      </c>
      <c r="F37" s="770" t="s">
        <v>1038</v>
      </c>
    </row>
    <row r="38" spans="1:6" ht="5.25" customHeight="1">
      <c r="C38" s="726" t="s">
        <v>1022</v>
      </c>
      <c r="D38" s="921" t="s">
        <v>1022</v>
      </c>
    </row>
    <row r="39" spans="1:6" ht="33" customHeight="1" thickBot="1">
      <c r="A39" s="1413" t="s">
        <v>1605</v>
      </c>
      <c r="B39" s="1413"/>
      <c r="C39" s="1413"/>
    </row>
    <row r="40" spans="1:6">
      <c r="A40" s="735" t="s">
        <v>1022</v>
      </c>
      <c r="B40" s="736" t="s">
        <v>1023</v>
      </c>
      <c r="C40" s="737" t="s">
        <v>1023</v>
      </c>
    </row>
    <row r="41" spans="1:6" ht="16.5" thickBot="1">
      <c r="A41" s="739" t="s">
        <v>67</v>
      </c>
      <c r="B41" s="740" t="s">
        <v>1024</v>
      </c>
      <c r="C41" s="741" t="s">
        <v>163</v>
      </c>
    </row>
    <row r="42" spans="1:6" ht="6.75" customHeight="1">
      <c r="A42" s="742" t="s">
        <v>1022</v>
      </c>
      <c r="B42" s="743" t="s">
        <v>1022</v>
      </c>
      <c r="C42" s="743" t="s">
        <v>1022</v>
      </c>
    </row>
    <row r="43" spans="1:6">
      <c r="A43" s="753" t="s">
        <v>1312</v>
      </c>
      <c r="B43" s="749">
        <f>+B26</f>
        <v>1899517</v>
      </c>
      <c r="C43" s="749">
        <f>+C26</f>
        <v>1982213</v>
      </c>
    </row>
    <row r="44" spans="1:6" ht="7.5" customHeight="1">
      <c r="A44" s="753" t="s">
        <v>1022</v>
      </c>
      <c r="B44" s="745"/>
      <c r="C44" s="756"/>
    </row>
    <row r="45" spans="1:6">
      <c r="A45" s="958" t="s">
        <v>1318</v>
      </c>
      <c r="B45" s="749">
        <f>ROUNDUP(B43*80%,0)</f>
        <v>1519614</v>
      </c>
      <c r="C45" s="749">
        <f>ROUNDUP(C43*80%,0)</f>
        <v>1585771</v>
      </c>
    </row>
    <row r="46" spans="1:6" ht="6.75" customHeight="1">
      <c r="A46" s="958"/>
      <c r="B46" s="749"/>
      <c r="C46" s="749"/>
    </row>
    <row r="47" spans="1:6">
      <c r="A47" s="753" t="s">
        <v>1319</v>
      </c>
      <c r="B47" s="749">
        <f>+B45</f>
        <v>1519614</v>
      </c>
      <c r="C47" s="749">
        <f>+C45</f>
        <v>1585771</v>
      </c>
    </row>
    <row r="48" spans="1:6" ht="6.75" customHeight="1">
      <c r="A48" s="753"/>
      <c r="B48" s="749"/>
      <c r="C48" s="749"/>
    </row>
    <row r="49" spans="1:4">
      <c r="A49" s="753" t="s">
        <v>1035</v>
      </c>
      <c r="B49" s="745"/>
      <c r="C49" s="758"/>
    </row>
    <row r="50" spans="1:4" ht="30" thickBot="1">
      <c r="A50" s="1308" t="s">
        <v>1608</v>
      </c>
      <c r="B50" s="760">
        <f>ROUNDUP(B47*65%,0)</f>
        <v>987750</v>
      </c>
      <c r="C50" s="760">
        <f>ROUNDUP(C47*65%,0)</f>
        <v>1030752</v>
      </c>
    </row>
    <row r="51" spans="1:4" ht="16.5" thickTop="1">
      <c r="A51" s="761" t="s">
        <v>1036</v>
      </c>
      <c r="B51" s="754">
        <f>SUM(B47:B50)</f>
        <v>2507364</v>
      </c>
      <c r="C51" s="754">
        <f>SUM(C47:C50)</f>
        <v>2616523</v>
      </c>
    </row>
    <row r="52" spans="1:4" ht="6" customHeight="1" thickBot="1">
      <c r="A52" s="765"/>
      <c r="B52" s="766"/>
      <c r="C52" s="766"/>
    </row>
    <row r="53" spans="1:4" ht="16.5" thickBot="1">
      <c r="A53" s="767" t="s">
        <v>1037</v>
      </c>
      <c r="B53" s="768"/>
      <c r="C53" s="769">
        <f>+C51*12</f>
        <v>31398276</v>
      </c>
    </row>
    <row r="56" spans="1:4">
      <c r="A56" s="1038" t="s">
        <v>1634</v>
      </c>
      <c r="B56" s="1039"/>
      <c r="C56" s="1042">
        <v>41140</v>
      </c>
    </row>
    <row r="57" spans="1:4">
      <c r="A57" s="1040" t="s">
        <v>1359</v>
      </c>
      <c r="B57" s="1040"/>
      <c r="C57" s="1041" t="s">
        <v>628</v>
      </c>
      <c r="D57" s="776"/>
    </row>
  </sheetData>
  <sheetProtection password="AC08" sheet="1"/>
  <mergeCells count="4">
    <mergeCell ref="A3:C3"/>
    <mergeCell ref="A4:C4"/>
    <mergeCell ref="A6:C6"/>
    <mergeCell ref="A39:C39"/>
  </mergeCells>
  <printOptions horizontalCentered="1"/>
  <pageMargins left="0.6692913385826772" right="0.35433070866141736" top="0.19685039370078741" bottom="0.78740157480314965" header="0.19685039370078741" footer="0.39370078740157483"/>
  <pageSetup scale="85" orientation="portrait" horizontalDpi="300" verticalDpi="300" r:id="rId1"/>
  <headerFooter alignWithMargins="0">
    <oddFooter>&amp;C&amp;"Times New Roman,Negrita"Pág.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1EF46-F363-4D68-82B6-B9857E8DC7D7}">
  <sheetPr codeName="Hoja11"/>
  <dimension ref="A1:I30"/>
  <sheetViews>
    <sheetView showGridLines="0" workbookViewId="0">
      <pane ySplit="10" topLeftCell="A11" activePane="bottomLeft" state="frozen"/>
      <selection sqref="A1:IV1"/>
      <selection pane="bottomLeft" activeCell="A11" sqref="A11"/>
    </sheetView>
  </sheetViews>
  <sheetFormatPr defaultColWidth="16.25" defaultRowHeight="15.75"/>
  <cols>
    <col min="1" max="1" width="2.25" customWidth="1"/>
    <col min="2" max="2" width="10.875" customWidth="1"/>
    <col min="3" max="3" width="15.875" customWidth="1"/>
    <col min="4" max="4" width="13.125" customWidth="1"/>
    <col min="5" max="5" width="15.125" customWidth="1"/>
    <col min="6" max="6" width="13.375" customWidth="1"/>
    <col min="7" max="7" width="20.875" customWidth="1"/>
    <col min="8" max="8" width="13.625" customWidth="1"/>
    <col min="9" max="9" width="12" hidden="1" customWidth="1"/>
    <col min="10" max="11" width="0" hidden="1" customWidth="1"/>
  </cols>
  <sheetData>
    <row r="1" spans="1:9" s="577" customFormat="1" ht="27" thickBot="1">
      <c r="B1" s="583" t="str">
        <f>'ESTADO APLICACION'!A1</f>
        <v>Municipalidad de Pérez Zeledón</v>
      </c>
      <c r="C1" s="576"/>
      <c r="D1" s="576"/>
      <c r="E1" s="576"/>
      <c r="F1" s="576"/>
      <c r="G1" s="584"/>
      <c r="H1" s="584" t="str">
        <f>'ESTADO APLICACION'!G1</f>
        <v>Presupuesto Ordinario 2013</v>
      </c>
      <c r="I1" s="1021" t="s">
        <v>621</v>
      </c>
    </row>
    <row r="4" spans="1:9" ht="18.75">
      <c r="B4" s="1368" t="s">
        <v>311</v>
      </c>
      <c r="C4" s="1368"/>
      <c r="D4" s="1368"/>
      <c r="E4" s="1368"/>
      <c r="F4" s="1368"/>
      <c r="G4" s="1368"/>
      <c r="H4" s="1368"/>
    </row>
    <row r="5" spans="1:9" ht="30" customHeight="1">
      <c r="B5" s="1365" t="s">
        <v>312</v>
      </c>
      <c r="C5" s="1365"/>
      <c r="D5" s="1365"/>
      <c r="E5" s="1365"/>
      <c r="F5" s="1365"/>
      <c r="G5" s="1365"/>
      <c r="H5" s="1365"/>
    </row>
    <row r="6" spans="1:9">
      <c r="B6" s="132"/>
      <c r="C6" s="126"/>
      <c r="D6" s="126"/>
      <c r="E6" s="126"/>
      <c r="F6" s="126"/>
    </row>
    <row r="7" spans="1:9" ht="16.5" thickBot="1">
      <c r="B7" s="71"/>
    </row>
    <row r="8" spans="1:9" s="6" customFormat="1" ht="20.25" customHeight="1" thickBot="1">
      <c r="B8" s="1416" t="s">
        <v>313</v>
      </c>
      <c r="C8" s="1417"/>
      <c r="D8" s="1417"/>
      <c r="E8" s="1417"/>
      <c r="F8" s="1417"/>
      <c r="G8" s="1417"/>
      <c r="H8" s="1418"/>
    </row>
    <row r="9" spans="1:9" s="142" customFormat="1">
      <c r="B9" s="141" t="s">
        <v>314</v>
      </c>
      <c r="C9" s="1421" t="s">
        <v>317</v>
      </c>
      <c r="D9" s="1419" t="s">
        <v>68</v>
      </c>
      <c r="E9" s="1419" t="s">
        <v>111</v>
      </c>
      <c r="F9" s="1419" t="s">
        <v>40</v>
      </c>
      <c r="G9" s="1057" t="s">
        <v>315</v>
      </c>
      <c r="H9" s="1423" t="s">
        <v>1601</v>
      </c>
    </row>
    <row r="10" spans="1:9" s="142" customFormat="1" ht="16.5" thickBot="1">
      <c r="B10" s="143" t="s">
        <v>316</v>
      </c>
      <c r="C10" s="1422"/>
      <c r="D10" s="1420"/>
      <c r="E10" s="1420"/>
      <c r="F10" s="1420"/>
      <c r="G10" s="1058" t="s">
        <v>318</v>
      </c>
      <c r="H10" s="1424"/>
    </row>
    <row r="11" spans="1:9" s="20" customFormat="1" ht="33" customHeight="1">
      <c r="A11" s="875">
        <v>1</v>
      </c>
      <c r="B11" s="379" t="s">
        <v>159</v>
      </c>
      <c r="C11" s="380" t="s">
        <v>998</v>
      </c>
      <c r="D11" s="382">
        <v>214000</v>
      </c>
      <c r="E11" s="383">
        <v>6098000</v>
      </c>
      <c r="F11" s="381">
        <f t="shared" ref="F11:F19" si="0">SUM(D11:E11)</f>
        <v>6312000</v>
      </c>
      <c r="G11" s="1302" t="s">
        <v>319</v>
      </c>
      <c r="H11" s="1303">
        <v>17676685.719999999</v>
      </c>
    </row>
    <row r="12" spans="1:9" s="20" customFormat="1" ht="33" customHeight="1">
      <c r="A12" s="875">
        <v>2</v>
      </c>
      <c r="B12" s="379" t="s">
        <v>159</v>
      </c>
      <c r="C12" s="380" t="s">
        <v>999</v>
      </c>
      <c r="D12" s="382">
        <v>5535000</v>
      </c>
      <c r="E12" s="383">
        <v>16790000</v>
      </c>
      <c r="F12" s="381">
        <f t="shared" si="0"/>
        <v>22325000</v>
      </c>
      <c r="G12" s="1302" t="s">
        <v>1075</v>
      </c>
      <c r="H12" s="1303">
        <v>44689934.57</v>
      </c>
    </row>
    <row r="13" spans="1:9" s="20" customFormat="1" ht="33" customHeight="1">
      <c r="A13" s="875">
        <v>3</v>
      </c>
      <c r="B13" s="379" t="s">
        <v>159</v>
      </c>
      <c r="C13" s="380" t="s">
        <v>1073</v>
      </c>
      <c r="D13" s="382">
        <v>252000</v>
      </c>
      <c r="E13" s="383">
        <v>503000</v>
      </c>
      <c r="F13" s="381">
        <f t="shared" si="0"/>
        <v>755000</v>
      </c>
      <c r="G13" s="1302" t="s">
        <v>1074</v>
      </c>
      <c r="H13" s="1303">
        <v>3576819.15</v>
      </c>
    </row>
    <row r="14" spans="1:9" s="20" customFormat="1" ht="33" customHeight="1">
      <c r="A14" s="875">
        <v>4</v>
      </c>
      <c r="B14" s="384" t="s">
        <v>160</v>
      </c>
      <c r="C14" s="380" t="s">
        <v>321</v>
      </c>
      <c r="D14" s="382">
        <v>40000</v>
      </c>
      <c r="E14" s="382">
        <v>2400000</v>
      </c>
      <c r="F14" s="381">
        <f t="shared" si="0"/>
        <v>2440000</v>
      </c>
      <c r="G14" s="1302" t="s">
        <v>261</v>
      </c>
      <c r="H14" s="1303">
        <v>2812933.85</v>
      </c>
    </row>
    <row r="15" spans="1:9" s="20" customFormat="1" ht="33" customHeight="1">
      <c r="A15" s="875">
        <v>5</v>
      </c>
      <c r="B15" s="384" t="s">
        <v>160</v>
      </c>
      <c r="C15" s="380" t="s">
        <v>320</v>
      </c>
      <c r="D15" s="382">
        <v>50000</v>
      </c>
      <c r="E15" s="382">
        <v>1700000</v>
      </c>
      <c r="F15" s="381">
        <f t="shared" si="0"/>
        <v>1750000</v>
      </c>
      <c r="G15" s="1302" t="s">
        <v>259</v>
      </c>
      <c r="H15" s="1303">
        <v>3659313.1</v>
      </c>
    </row>
    <row r="16" spans="1:9" s="20" customFormat="1" ht="33" customHeight="1">
      <c r="A16" s="875">
        <v>6</v>
      </c>
      <c r="B16" s="700" t="s">
        <v>1000</v>
      </c>
      <c r="C16" s="701" t="s">
        <v>1181</v>
      </c>
      <c r="D16" s="702">
        <v>3400000</v>
      </c>
      <c r="E16" s="702">
        <v>29160000</v>
      </c>
      <c r="F16" s="703">
        <f t="shared" si="0"/>
        <v>32560000</v>
      </c>
      <c r="G16" s="1304" t="s">
        <v>261</v>
      </c>
      <c r="H16" s="1305">
        <v>29903092.800000001</v>
      </c>
    </row>
    <row r="17" spans="1:8" s="20" customFormat="1" ht="33" customHeight="1">
      <c r="A17" s="875">
        <v>7</v>
      </c>
      <c r="B17" s="384" t="s">
        <v>1000</v>
      </c>
      <c r="C17" s="435" t="s">
        <v>1141</v>
      </c>
      <c r="D17" s="382">
        <v>30480000</v>
      </c>
      <c r="E17" s="382">
        <v>20913000</v>
      </c>
      <c r="F17" s="381">
        <f t="shared" si="0"/>
        <v>51393000</v>
      </c>
      <c r="G17" s="1302" t="s">
        <v>1001</v>
      </c>
      <c r="H17" s="1303">
        <v>178678103.40000001</v>
      </c>
    </row>
    <row r="18" spans="1:8" s="20" customFormat="1" ht="33" customHeight="1">
      <c r="A18" s="875">
        <v>8</v>
      </c>
      <c r="B18" s="384" t="s">
        <v>1000</v>
      </c>
      <c r="C18" s="435" t="s">
        <v>1142</v>
      </c>
      <c r="D18" s="382">
        <v>38965000</v>
      </c>
      <c r="E18" s="382">
        <v>25858000</v>
      </c>
      <c r="F18" s="381">
        <f t="shared" si="0"/>
        <v>64823000</v>
      </c>
      <c r="G18" s="1302" t="s">
        <v>1001</v>
      </c>
      <c r="H18" s="1303">
        <v>227702530.78</v>
      </c>
    </row>
    <row r="19" spans="1:8" s="20" customFormat="1" ht="33" customHeight="1" thickBot="1">
      <c r="A19" s="875">
        <v>9</v>
      </c>
      <c r="B19" s="384" t="s">
        <v>159</v>
      </c>
      <c r="C19" s="435" t="s">
        <v>1559</v>
      </c>
      <c r="D19" s="382">
        <v>113494079.40000001</v>
      </c>
      <c r="E19" s="383"/>
      <c r="F19" s="381">
        <f t="shared" si="0"/>
        <v>113494079.40000001</v>
      </c>
      <c r="G19" s="1302" t="s">
        <v>1360</v>
      </c>
      <c r="H19" s="1303">
        <v>0</v>
      </c>
    </row>
    <row r="20" spans="1:8" s="221" customFormat="1" ht="36" customHeight="1" thickBot="1">
      <c r="B20" s="1414" t="s">
        <v>301</v>
      </c>
      <c r="C20" s="1415"/>
      <c r="D20" s="704">
        <f>SUM(D11:D19)</f>
        <v>192430079.40000001</v>
      </c>
      <c r="E20" s="704">
        <f>SUM(E11:E19)</f>
        <v>103422000</v>
      </c>
      <c r="F20" s="704">
        <f>SUM(F11:F19)</f>
        <v>295852079.39999998</v>
      </c>
      <c r="G20" s="1306"/>
      <c r="H20" s="704">
        <f>SUM(H11:H19)</f>
        <v>508699413.37</v>
      </c>
    </row>
    <row r="21" spans="1:8" ht="22.5" customHeight="1" thickBot="1">
      <c r="B21" s="223"/>
      <c r="C21" s="20"/>
      <c r="D21" s="20"/>
      <c r="E21" s="20"/>
      <c r="F21" s="20"/>
    </row>
    <row r="22" spans="1:8" s="22" customFormat="1" ht="29.25" customHeight="1" thickBot="1">
      <c r="B22" s="705" t="str">
        <f>H1</f>
        <v>Presupuesto Ordinario 2013</v>
      </c>
      <c r="C22" s="706"/>
      <c r="D22" s="707">
        <f>[1]GASTOS!$C$168</f>
        <v>192430079.40000001</v>
      </c>
      <c r="E22" s="708">
        <f>[1]GASTOS!$C$286</f>
        <v>103422000</v>
      </c>
      <c r="F22" s="708">
        <f>SUM(D22:E22)</f>
        <v>295852079.39999998</v>
      </c>
      <c r="G22" s="709"/>
      <c r="H22" s="709"/>
    </row>
    <row r="23" spans="1:8" ht="22.5" customHeight="1" thickBot="1">
      <c r="B23" s="222"/>
      <c r="C23" s="129"/>
      <c r="D23" s="129"/>
      <c r="E23" s="129"/>
      <c r="F23" s="129"/>
      <c r="G23" s="133"/>
      <c r="H23" s="133"/>
    </row>
    <row r="24" spans="1:8" s="22" customFormat="1" ht="22.5" customHeight="1" thickBot="1">
      <c r="B24" s="710" t="s">
        <v>120</v>
      </c>
      <c r="C24" s="711"/>
      <c r="D24" s="712">
        <f>D20-D22</f>
        <v>0</v>
      </c>
      <c r="E24" s="713">
        <f>E20-E22</f>
        <v>0</v>
      </c>
      <c r="F24" s="714">
        <f>F20-F22</f>
        <v>0</v>
      </c>
      <c r="G24" s="709"/>
      <c r="H24" s="709"/>
    </row>
    <row r="25" spans="1:8">
      <c r="B25" s="223" t="s">
        <v>1560</v>
      </c>
    </row>
    <row r="26" spans="1:8">
      <c r="B26" s="71"/>
    </row>
    <row r="27" spans="1:8">
      <c r="B27" s="6"/>
      <c r="C27" s="6"/>
      <c r="D27" s="17"/>
      <c r="E27" s="17"/>
      <c r="F27" s="17"/>
      <c r="G27" s="17"/>
      <c r="H27" s="17"/>
    </row>
    <row r="28" spans="1:8">
      <c r="C28" s="21"/>
      <c r="D28" s="21"/>
      <c r="E28" s="21"/>
      <c r="F28" s="21"/>
      <c r="G28" s="21"/>
      <c r="H28" s="21"/>
    </row>
    <row r="29" spans="1:8">
      <c r="B29" s="811" t="s">
        <v>612</v>
      </c>
      <c r="D29" s="84" t="s">
        <v>1241</v>
      </c>
      <c r="E29" s="84"/>
      <c r="F29" s="298">
        <v>41146</v>
      </c>
      <c r="G29" s="298"/>
      <c r="H29" s="298"/>
    </row>
    <row r="30" spans="1:8" ht="14.25" customHeight="1">
      <c r="C30" s="15"/>
      <c r="D30" s="94" t="s">
        <v>1068</v>
      </c>
      <c r="E30" s="94"/>
      <c r="F30" s="49" t="s">
        <v>628</v>
      </c>
      <c r="G30" s="49"/>
      <c r="H30" s="49"/>
    </row>
  </sheetData>
  <sheetProtection password="AC08" sheet="1"/>
  <mergeCells count="9">
    <mergeCell ref="B20:C20"/>
    <mergeCell ref="B8:H8"/>
    <mergeCell ref="B4:H4"/>
    <mergeCell ref="B5:H5"/>
    <mergeCell ref="E9:E10"/>
    <mergeCell ref="C9:C10"/>
    <mergeCell ref="D9:D10"/>
    <mergeCell ref="F9:F10"/>
    <mergeCell ref="H9:H10"/>
  </mergeCells>
  <phoneticPr fontId="0" type="noConversion"/>
  <printOptions horizontalCentered="1"/>
  <pageMargins left="0.70866141732283472" right="0.11811023622047245" top="0.19685039370078741" bottom="0.78740157480314965" header="0.19685039370078741" footer="0.39370078740157483"/>
  <pageSetup scale="84" orientation="portrait" horizontalDpi="360" verticalDpi="360" r:id="rId1"/>
  <headerFooter alignWithMargins="0">
    <oddFooter>&amp;C&amp;"Times New Roman,Negrita"Pág. &amp;P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DDD6A-D9D8-4B28-B76E-8A634B4D3535}">
  <sheetPr codeName="Hoja12"/>
  <dimension ref="A1:G817"/>
  <sheetViews>
    <sheetView workbookViewId="0">
      <selection activeCell="G1" sqref="G1:G65536"/>
    </sheetView>
  </sheetViews>
  <sheetFormatPr defaultColWidth="10" defaultRowHeight="12.75"/>
  <cols>
    <col min="1" max="1" width="8.125" style="144" customWidth="1"/>
    <col min="2" max="2" width="35.375" style="145" customWidth="1"/>
    <col min="3" max="3" width="12.75" style="145" customWidth="1"/>
    <col min="4" max="4" width="13.5" style="145" customWidth="1"/>
    <col min="5" max="5" width="13.75" style="145" customWidth="1"/>
    <col min="6" max="6" width="17.375" style="145" customWidth="1"/>
    <col min="7" max="7" width="0" style="146" hidden="1" customWidth="1"/>
    <col min="8" max="16384" width="10" style="146"/>
  </cols>
  <sheetData>
    <row r="1" spans="1:7" s="575" customFormat="1" ht="28.5" thickBot="1">
      <c r="A1" s="585" t="str">
        <f>DEUDA!B1</f>
        <v>Municipalidad de Pérez Zeledón</v>
      </c>
      <c r="B1" s="572"/>
      <c r="C1" s="572"/>
      <c r="D1" s="572"/>
      <c r="E1" s="572"/>
      <c r="F1" s="586" t="str">
        <f>DEUDA!H1</f>
        <v>Presupuesto Ordinario 2013</v>
      </c>
      <c r="G1" s="1021" t="s">
        <v>621</v>
      </c>
    </row>
    <row r="2" spans="1:7" ht="36" customHeight="1">
      <c r="A2" s="147"/>
      <c r="B2" s="148"/>
      <c r="C2" s="149"/>
      <c r="D2" s="149"/>
      <c r="E2" s="149"/>
      <c r="F2" s="149"/>
    </row>
    <row r="3" spans="1:7" ht="18.75">
      <c r="A3" s="163" t="s">
        <v>20</v>
      </c>
      <c r="B3" s="156"/>
      <c r="C3" s="149"/>
      <c r="D3" s="149"/>
      <c r="E3" s="149"/>
      <c r="F3" s="149"/>
    </row>
    <row r="4" spans="1:7" s="253" customFormat="1" ht="38.25" customHeight="1">
      <c r="A4" s="250" t="s">
        <v>577</v>
      </c>
      <c r="B4" s="251"/>
      <c r="C4" s="252"/>
      <c r="D4" s="252"/>
      <c r="E4" s="252"/>
      <c r="F4" s="252"/>
    </row>
    <row r="5" spans="1:7" s="253" customFormat="1" ht="24" customHeight="1">
      <c r="A5" s="250" t="s">
        <v>578</v>
      </c>
      <c r="B5" s="251"/>
      <c r="C5" s="252"/>
      <c r="D5" s="252"/>
      <c r="E5" s="252"/>
      <c r="F5" s="252"/>
    </row>
    <row r="6" spans="1:7" ht="36" customHeight="1" thickBot="1"/>
    <row r="7" spans="1:7" s="162" customFormat="1" ht="30" customHeight="1" thickBot="1">
      <c r="A7" s="157" t="s">
        <v>21</v>
      </c>
      <c r="B7" s="160" t="s">
        <v>22</v>
      </c>
      <c r="C7" s="161" t="s">
        <v>23</v>
      </c>
      <c r="D7" s="160" t="s">
        <v>24</v>
      </c>
      <c r="E7" s="158" t="s">
        <v>98</v>
      </c>
      <c r="F7" s="159" t="s">
        <v>25</v>
      </c>
    </row>
    <row r="8" spans="1:7" s="235" customFormat="1" ht="24" customHeight="1">
      <c r="A8" s="259">
        <v>6</v>
      </c>
      <c r="B8" s="260" t="s">
        <v>52</v>
      </c>
      <c r="C8" s="260"/>
      <c r="D8" s="260"/>
      <c r="E8" s="261">
        <f>E9</f>
        <v>25684043</v>
      </c>
      <c r="F8" s="262"/>
    </row>
    <row r="9" spans="1:7" s="235" customFormat="1" ht="42" customHeight="1">
      <c r="A9" s="263" t="s">
        <v>497</v>
      </c>
      <c r="B9" s="264" t="s">
        <v>26</v>
      </c>
      <c r="C9" s="264"/>
      <c r="D9" s="264"/>
      <c r="E9" s="265">
        <f>SUM(E10:E11)</f>
        <v>25684043</v>
      </c>
      <c r="F9" s="266"/>
    </row>
    <row r="10" spans="1:7" s="235" customFormat="1" ht="68.25" customHeight="1">
      <c r="A10" s="254" t="s">
        <v>498</v>
      </c>
      <c r="B10" s="255" t="s">
        <v>29</v>
      </c>
      <c r="C10" s="256" t="s">
        <v>579</v>
      </c>
      <c r="D10" s="255" t="s">
        <v>542</v>
      </c>
      <c r="E10" s="257">
        <f>[1]GASTOS!$C$254</f>
        <v>25684043</v>
      </c>
      <c r="F10" s="258" t="s">
        <v>580</v>
      </c>
    </row>
    <row r="11" spans="1:7" ht="36" customHeight="1" thickBot="1">
      <c r="A11" s="150"/>
      <c r="B11" s="151"/>
      <c r="C11" s="151"/>
      <c r="D11" s="151"/>
      <c r="E11" s="152"/>
      <c r="F11" s="153"/>
    </row>
    <row r="12" spans="1:7" s="235" customFormat="1" ht="27" customHeight="1">
      <c r="A12" s="231">
        <v>7</v>
      </c>
      <c r="B12" s="295" t="s">
        <v>54</v>
      </c>
      <c r="C12" s="232"/>
      <c r="D12" s="232"/>
      <c r="E12" s="233">
        <f>E13</f>
        <v>0</v>
      </c>
      <c r="F12" s="234"/>
    </row>
    <row r="13" spans="1:7" s="235" customFormat="1" ht="46.5" customHeight="1">
      <c r="A13" s="263" t="s">
        <v>27</v>
      </c>
      <c r="B13" s="264" t="s">
        <v>28</v>
      </c>
      <c r="C13" s="267"/>
      <c r="D13" s="267"/>
      <c r="E13" s="268">
        <f>SUM(E14:E15)</f>
        <v>0</v>
      </c>
      <c r="F13" s="269"/>
    </row>
    <row r="14" spans="1:7" ht="26.25" customHeight="1">
      <c r="A14" s="150"/>
      <c r="B14" s="151"/>
      <c r="C14" s="151"/>
      <c r="D14" s="151"/>
      <c r="E14" s="152"/>
      <c r="F14" s="153"/>
    </row>
    <row r="15" spans="1:7" ht="26.25" customHeight="1">
      <c r="A15" s="150"/>
      <c r="B15" s="151"/>
      <c r="C15" s="151"/>
      <c r="D15" s="151"/>
      <c r="E15" s="152"/>
      <c r="F15" s="153"/>
    </row>
    <row r="16" spans="1:7" s="230" customFormat="1" ht="30.75" customHeight="1" thickBot="1">
      <c r="A16" s="225"/>
      <c r="B16" s="226" t="s">
        <v>40</v>
      </c>
      <c r="C16" s="227"/>
      <c r="D16" s="227"/>
      <c r="E16" s="228">
        <f>E12+E8</f>
        <v>25684043</v>
      </c>
      <c r="F16" s="229"/>
    </row>
    <row r="17" spans="1:6">
      <c r="F17" s="146"/>
    </row>
    <row r="18" spans="1:6">
      <c r="F18" s="146"/>
    </row>
    <row r="19" spans="1:6">
      <c r="F19" s="146"/>
    </row>
    <row r="20" spans="1:6">
      <c r="F20" s="146"/>
    </row>
    <row r="21" spans="1:6">
      <c r="F21" s="146"/>
    </row>
    <row r="22" spans="1:6">
      <c r="F22" s="146"/>
    </row>
    <row r="23" spans="1:6">
      <c r="F23" s="146"/>
    </row>
    <row r="24" spans="1:6" customFormat="1" ht="15.75">
      <c r="A24" s="224" t="s">
        <v>1242</v>
      </c>
      <c r="B24" s="78"/>
      <c r="C24" s="145"/>
      <c r="D24" s="298">
        <v>41146</v>
      </c>
      <c r="E24" s="49"/>
      <c r="F24" s="145"/>
    </row>
    <row r="25" spans="1:6" customFormat="1" ht="15.75">
      <c r="A25" s="223"/>
      <c r="B25" s="94" t="s">
        <v>1068</v>
      </c>
      <c r="C25" s="145"/>
      <c r="D25" s="49" t="s">
        <v>628</v>
      </c>
      <c r="E25" s="145"/>
      <c r="F25" s="145"/>
    </row>
    <row r="26" spans="1:6" s="155" customFormat="1">
      <c r="A26" s="154"/>
    </row>
    <row r="27" spans="1:6">
      <c r="F27" s="146"/>
    </row>
    <row r="28" spans="1:6">
      <c r="F28" s="146"/>
    </row>
    <row r="29" spans="1:6">
      <c r="F29" s="146"/>
    </row>
    <row r="30" spans="1:6">
      <c r="F30" s="146"/>
    </row>
    <row r="31" spans="1:6">
      <c r="F31" s="146"/>
    </row>
    <row r="32" spans="1:6">
      <c r="F32" s="146"/>
    </row>
    <row r="33" spans="6:6">
      <c r="F33" s="146"/>
    </row>
    <row r="34" spans="6:6">
      <c r="F34" s="146"/>
    </row>
    <row r="35" spans="6:6">
      <c r="F35" s="146"/>
    </row>
    <row r="36" spans="6:6">
      <c r="F36" s="146"/>
    </row>
    <row r="37" spans="6:6">
      <c r="F37" s="146"/>
    </row>
    <row r="38" spans="6:6">
      <c r="F38" s="146"/>
    </row>
    <row r="39" spans="6:6">
      <c r="F39" s="146"/>
    </row>
    <row r="40" spans="6:6">
      <c r="F40" s="146"/>
    </row>
    <row r="41" spans="6:6">
      <c r="F41" s="146"/>
    </row>
    <row r="42" spans="6:6">
      <c r="F42" s="146"/>
    </row>
    <row r="43" spans="6:6">
      <c r="F43" s="146"/>
    </row>
    <row r="44" spans="6:6">
      <c r="F44" s="146"/>
    </row>
    <row r="45" spans="6:6">
      <c r="F45" s="146"/>
    </row>
    <row r="46" spans="6:6">
      <c r="F46" s="146"/>
    </row>
    <row r="47" spans="6:6">
      <c r="F47" s="146"/>
    </row>
    <row r="48" spans="6:6">
      <c r="F48" s="146"/>
    </row>
    <row r="49" spans="6:6">
      <c r="F49" s="146"/>
    </row>
    <row r="50" spans="6:6">
      <c r="F50" s="146"/>
    </row>
    <row r="51" spans="6:6">
      <c r="F51" s="146"/>
    </row>
    <row r="52" spans="6:6">
      <c r="F52" s="146"/>
    </row>
    <row r="53" spans="6:6">
      <c r="F53" s="146"/>
    </row>
    <row r="54" spans="6:6">
      <c r="F54" s="146"/>
    </row>
    <row r="55" spans="6:6">
      <c r="F55" s="146"/>
    </row>
    <row r="56" spans="6:6">
      <c r="F56" s="146"/>
    </row>
    <row r="57" spans="6:6">
      <c r="F57" s="146"/>
    </row>
    <row r="58" spans="6:6">
      <c r="F58" s="146"/>
    </row>
    <row r="59" spans="6:6">
      <c r="F59" s="146"/>
    </row>
    <row r="60" spans="6:6">
      <c r="F60" s="146"/>
    </row>
    <row r="61" spans="6:6">
      <c r="F61" s="146"/>
    </row>
    <row r="62" spans="6:6">
      <c r="F62" s="146"/>
    </row>
    <row r="63" spans="6:6">
      <c r="F63" s="146"/>
    </row>
    <row r="64" spans="6:6">
      <c r="F64" s="146"/>
    </row>
    <row r="65" spans="6:6">
      <c r="F65" s="146"/>
    </row>
    <row r="66" spans="6:6">
      <c r="F66" s="146"/>
    </row>
    <row r="67" spans="6:6">
      <c r="F67" s="146"/>
    </row>
    <row r="68" spans="6:6">
      <c r="F68" s="146"/>
    </row>
    <row r="69" spans="6:6">
      <c r="F69" s="146"/>
    </row>
    <row r="70" spans="6:6">
      <c r="F70" s="146"/>
    </row>
    <row r="71" spans="6:6">
      <c r="F71" s="146"/>
    </row>
    <row r="72" spans="6:6">
      <c r="F72" s="146"/>
    </row>
    <row r="73" spans="6:6">
      <c r="F73" s="146"/>
    </row>
    <row r="74" spans="6:6">
      <c r="F74" s="146"/>
    </row>
    <row r="75" spans="6:6">
      <c r="F75" s="146"/>
    </row>
    <row r="76" spans="6:6">
      <c r="F76" s="146"/>
    </row>
    <row r="77" spans="6:6">
      <c r="F77" s="146"/>
    </row>
    <row r="78" spans="6:6">
      <c r="F78" s="146"/>
    </row>
    <row r="79" spans="6:6">
      <c r="F79" s="146"/>
    </row>
    <row r="80" spans="6:6">
      <c r="F80" s="146"/>
    </row>
    <row r="81" spans="6:6">
      <c r="F81" s="146"/>
    </row>
    <row r="82" spans="6:6">
      <c r="F82" s="146"/>
    </row>
    <row r="83" spans="6:6">
      <c r="F83" s="146"/>
    </row>
    <row r="84" spans="6:6">
      <c r="F84" s="146"/>
    </row>
    <row r="85" spans="6:6">
      <c r="F85" s="146"/>
    </row>
    <row r="86" spans="6:6">
      <c r="F86" s="146"/>
    </row>
    <row r="87" spans="6:6">
      <c r="F87" s="146"/>
    </row>
    <row r="88" spans="6:6">
      <c r="F88" s="146"/>
    </row>
    <row r="89" spans="6:6">
      <c r="F89" s="146"/>
    </row>
    <row r="90" spans="6:6">
      <c r="F90" s="146"/>
    </row>
    <row r="91" spans="6:6">
      <c r="F91" s="146"/>
    </row>
    <row r="92" spans="6:6">
      <c r="F92" s="146"/>
    </row>
    <row r="93" spans="6:6">
      <c r="F93" s="146"/>
    </row>
    <row r="94" spans="6:6">
      <c r="F94" s="146"/>
    </row>
    <row r="95" spans="6:6">
      <c r="F95" s="146"/>
    </row>
    <row r="96" spans="6:6">
      <c r="F96" s="146"/>
    </row>
    <row r="97" spans="6:6">
      <c r="F97" s="146"/>
    </row>
    <row r="98" spans="6:6">
      <c r="F98" s="146"/>
    </row>
    <row r="99" spans="6:6">
      <c r="F99" s="146"/>
    </row>
    <row r="100" spans="6:6">
      <c r="F100" s="146"/>
    </row>
    <row r="101" spans="6:6">
      <c r="F101" s="146"/>
    </row>
    <row r="102" spans="6:6">
      <c r="F102" s="146"/>
    </row>
    <row r="103" spans="6:6">
      <c r="F103" s="146"/>
    </row>
    <row r="104" spans="6:6">
      <c r="F104" s="146"/>
    </row>
    <row r="105" spans="6:6">
      <c r="F105" s="146"/>
    </row>
    <row r="106" spans="6:6">
      <c r="F106" s="146"/>
    </row>
    <row r="107" spans="6:6">
      <c r="F107" s="146"/>
    </row>
    <row r="108" spans="6:6">
      <c r="F108" s="146"/>
    </row>
    <row r="109" spans="6:6">
      <c r="F109" s="146"/>
    </row>
    <row r="110" spans="6:6">
      <c r="F110" s="146"/>
    </row>
    <row r="111" spans="6:6">
      <c r="F111" s="146"/>
    </row>
    <row r="112" spans="6:6">
      <c r="F112" s="146"/>
    </row>
    <row r="113" spans="6:6">
      <c r="F113" s="146"/>
    </row>
    <row r="114" spans="6:6">
      <c r="F114" s="146"/>
    </row>
    <row r="115" spans="6:6">
      <c r="F115" s="146"/>
    </row>
    <row r="116" spans="6:6">
      <c r="F116" s="146"/>
    </row>
    <row r="117" spans="6:6">
      <c r="F117" s="146"/>
    </row>
    <row r="118" spans="6:6">
      <c r="F118" s="146"/>
    </row>
    <row r="119" spans="6:6">
      <c r="F119" s="146"/>
    </row>
    <row r="120" spans="6:6">
      <c r="F120" s="146"/>
    </row>
    <row r="121" spans="6:6">
      <c r="F121" s="146"/>
    </row>
    <row r="122" spans="6:6">
      <c r="F122" s="146"/>
    </row>
    <row r="123" spans="6:6">
      <c r="F123" s="146"/>
    </row>
    <row r="124" spans="6:6">
      <c r="F124" s="146"/>
    </row>
    <row r="125" spans="6:6">
      <c r="F125" s="146"/>
    </row>
    <row r="126" spans="6:6">
      <c r="F126" s="146"/>
    </row>
    <row r="127" spans="6:6">
      <c r="F127" s="146"/>
    </row>
    <row r="128" spans="6:6">
      <c r="F128" s="146"/>
    </row>
    <row r="129" spans="6:6">
      <c r="F129" s="146"/>
    </row>
    <row r="130" spans="6:6">
      <c r="F130" s="146"/>
    </row>
    <row r="131" spans="6:6">
      <c r="F131" s="146"/>
    </row>
    <row r="132" spans="6:6">
      <c r="F132" s="146"/>
    </row>
    <row r="133" spans="6:6">
      <c r="F133" s="146"/>
    </row>
    <row r="134" spans="6:6">
      <c r="F134" s="146"/>
    </row>
    <row r="135" spans="6:6">
      <c r="F135" s="146"/>
    </row>
    <row r="136" spans="6:6">
      <c r="F136" s="146"/>
    </row>
    <row r="137" spans="6:6">
      <c r="F137" s="146"/>
    </row>
    <row r="138" spans="6:6">
      <c r="F138" s="146"/>
    </row>
    <row r="139" spans="6:6">
      <c r="F139" s="146"/>
    </row>
    <row r="140" spans="6:6">
      <c r="F140" s="146"/>
    </row>
    <row r="141" spans="6:6">
      <c r="F141" s="146"/>
    </row>
    <row r="142" spans="6:6">
      <c r="F142" s="146"/>
    </row>
    <row r="143" spans="6:6">
      <c r="F143" s="146"/>
    </row>
    <row r="144" spans="6:6">
      <c r="F144" s="146"/>
    </row>
    <row r="145" spans="6:6">
      <c r="F145" s="146"/>
    </row>
    <row r="146" spans="6:6">
      <c r="F146" s="146"/>
    </row>
    <row r="147" spans="6:6">
      <c r="F147" s="146"/>
    </row>
    <row r="148" spans="6:6">
      <c r="F148" s="146"/>
    </row>
    <row r="149" spans="6:6">
      <c r="F149" s="146"/>
    </row>
    <row r="150" spans="6:6">
      <c r="F150" s="146"/>
    </row>
    <row r="151" spans="6:6">
      <c r="F151" s="146"/>
    </row>
    <row r="152" spans="6:6">
      <c r="F152" s="146"/>
    </row>
    <row r="153" spans="6:6">
      <c r="F153" s="146"/>
    </row>
    <row r="154" spans="6:6">
      <c r="F154" s="146"/>
    </row>
    <row r="155" spans="6:6">
      <c r="F155" s="146"/>
    </row>
    <row r="156" spans="6:6">
      <c r="F156" s="146"/>
    </row>
    <row r="157" spans="6:6">
      <c r="F157" s="146"/>
    </row>
    <row r="158" spans="6:6">
      <c r="F158" s="146"/>
    </row>
    <row r="159" spans="6:6">
      <c r="F159" s="146"/>
    </row>
    <row r="160" spans="6:6">
      <c r="F160" s="146"/>
    </row>
    <row r="161" spans="6:6">
      <c r="F161" s="146"/>
    </row>
    <row r="162" spans="6:6">
      <c r="F162" s="146"/>
    </row>
    <row r="163" spans="6:6">
      <c r="F163" s="146"/>
    </row>
    <row r="164" spans="6:6">
      <c r="F164" s="146"/>
    </row>
    <row r="165" spans="6:6">
      <c r="F165" s="146"/>
    </row>
    <row r="166" spans="6:6">
      <c r="F166" s="146"/>
    </row>
    <row r="167" spans="6:6">
      <c r="F167" s="146"/>
    </row>
    <row r="168" spans="6:6">
      <c r="F168" s="146"/>
    </row>
    <row r="169" spans="6:6">
      <c r="F169" s="146"/>
    </row>
    <row r="170" spans="6:6">
      <c r="F170" s="146"/>
    </row>
    <row r="171" spans="6:6">
      <c r="F171" s="146"/>
    </row>
    <row r="172" spans="6:6">
      <c r="F172" s="146"/>
    </row>
    <row r="173" spans="6:6">
      <c r="F173" s="146"/>
    </row>
    <row r="174" spans="6:6">
      <c r="F174" s="146"/>
    </row>
    <row r="175" spans="6:6">
      <c r="F175" s="146"/>
    </row>
    <row r="176" spans="6:6">
      <c r="F176" s="146"/>
    </row>
    <row r="177" spans="6:6">
      <c r="F177" s="146"/>
    </row>
    <row r="178" spans="6:6">
      <c r="F178" s="146"/>
    </row>
    <row r="179" spans="6:6">
      <c r="F179" s="146"/>
    </row>
    <row r="180" spans="6:6">
      <c r="F180" s="146"/>
    </row>
    <row r="181" spans="6:6">
      <c r="F181" s="146"/>
    </row>
    <row r="182" spans="6:6">
      <c r="F182" s="146"/>
    </row>
    <row r="183" spans="6:6">
      <c r="F183" s="146"/>
    </row>
    <row r="184" spans="6:6">
      <c r="F184" s="146"/>
    </row>
    <row r="185" spans="6:6">
      <c r="F185" s="146"/>
    </row>
    <row r="186" spans="6:6">
      <c r="F186" s="146"/>
    </row>
    <row r="187" spans="6:6">
      <c r="F187" s="146"/>
    </row>
    <row r="188" spans="6:6">
      <c r="F188" s="146"/>
    </row>
    <row r="189" spans="6:6">
      <c r="F189" s="146"/>
    </row>
    <row r="190" spans="6:6">
      <c r="F190" s="146"/>
    </row>
    <row r="191" spans="6:6">
      <c r="F191" s="146"/>
    </row>
    <row r="192" spans="6:6">
      <c r="F192" s="146"/>
    </row>
    <row r="193" spans="6:6">
      <c r="F193" s="146"/>
    </row>
    <row r="194" spans="6:6">
      <c r="F194" s="146"/>
    </row>
    <row r="195" spans="6:6">
      <c r="F195" s="146"/>
    </row>
    <row r="196" spans="6:6">
      <c r="F196" s="146"/>
    </row>
    <row r="197" spans="6:6">
      <c r="F197" s="146"/>
    </row>
    <row r="198" spans="6:6">
      <c r="F198" s="146"/>
    </row>
    <row r="199" spans="6:6">
      <c r="F199" s="146"/>
    </row>
    <row r="200" spans="6:6">
      <c r="F200" s="146"/>
    </row>
    <row r="201" spans="6:6">
      <c r="F201" s="146"/>
    </row>
    <row r="202" spans="6:6">
      <c r="F202" s="146"/>
    </row>
    <row r="203" spans="6:6">
      <c r="F203" s="146"/>
    </row>
    <row r="204" spans="6:6">
      <c r="F204" s="146"/>
    </row>
    <row r="205" spans="6:6">
      <c r="F205" s="146"/>
    </row>
    <row r="206" spans="6:6">
      <c r="F206" s="146"/>
    </row>
    <row r="207" spans="6:6">
      <c r="F207" s="146"/>
    </row>
    <row r="208" spans="6:6">
      <c r="F208" s="146"/>
    </row>
    <row r="209" spans="6:6">
      <c r="F209" s="146"/>
    </row>
    <row r="210" spans="6:6">
      <c r="F210" s="146"/>
    </row>
    <row r="211" spans="6:6">
      <c r="F211" s="146"/>
    </row>
    <row r="212" spans="6:6">
      <c r="F212" s="146"/>
    </row>
    <row r="213" spans="6:6">
      <c r="F213" s="146"/>
    </row>
    <row r="214" spans="6:6">
      <c r="F214" s="146"/>
    </row>
    <row r="215" spans="6:6">
      <c r="F215" s="146"/>
    </row>
    <row r="216" spans="6:6">
      <c r="F216" s="146"/>
    </row>
    <row r="217" spans="6:6">
      <c r="F217" s="146"/>
    </row>
    <row r="218" spans="6:6">
      <c r="F218" s="146"/>
    </row>
    <row r="219" spans="6:6">
      <c r="F219" s="146"/>
    </row>
    <row r="220" spans="6:6">
      <c r="F220" s="146"/>
    </row>
    <row r="221" spans="6:6">
      <c r="F221" s="146"/>
    </row>
    <row r="222" spans="6:6">
      <c r="F222" s="146"/>
    </row>
    <row r="223" spans="6:6">
      <c r="F223" s="146"/>
    </row>
    <row r="224" spans="6:6">
      <c r="F224" s="146"/>
    </row>
    <row r="225" spans="6:6">
      <c r="F225" s="146"/>
    </row>
    <row r="226" spans="6:6">
      <c r="F226" s="146"/>
    </row>
    <row r="227" spans="6:6">
      <c r="F227" s="146"/>
    </row>
    <row r="228" spans="6:6">
      <c r="F228" s="146"/>
    </row>
    <row r="229" spans="6:6">
      <c r="F229" s="146"/>
    </row>
    <row r="230" spans="6:6">
      <c r="F230" s="146"/>
    </row>
    <row r="231" spans="6:6">
      <c r="F231" s="146"/>
    </row>
    <row r="232" spans="6:6">
      <c r="F232" s="146"/>
    </row>
    <row r="233" spans="6:6">
      <c r="F233" s="146"/>
    </row>
    <row r="234" spans="6:6">
      <c r="F234" s="146"/>
    </row>
    <row r="235" spans="6:6">
      <c r="F235" s="146"/>
    </row>
    <row r="236" spans="6:6">
      <c r="F236" s="146"/>
    </row>
    <row r="237" spans="6:6">
      <c r="F237" s="146"/>
    </row>
    <row r="238" spans="6:6">
      <c r="F238" s="146"/>
    </row>
    <row r="239" spans="6:6">
      <c r="F239" s="146"/>
    </row>
    <row r="240" spans="6:6">
      <c r="F240" s="146"/>
    </row>
    <row r="241" spans="6:6">
      <c r="F241" s="146"/>
    </row>
    <row r="242" spans="6:6">
      <c r="F242" s="146"/>
    </row>
    <row r="243" spans="6:6">
      <c r="F243" s="146"/>
    </row>
    <row r="244" spans="6:6">
      <c r="F244" s="146"/>
    </row>
    <row r="245" spans="6:6">
      <c r="F245" s="146"/>
    </row>
    <row r="246" spans="6:6">
      <c r="F246" s="146"/>
    </row>
    <row r="247" spans="6:6">
      <c r="F247" s="146"/>
    </row>
    <row r="248" spans="6:6">
      <c r="F248" s="146"/>
    </row>
    <row r="249" spans="6:6">
      <c r="F249" s="146"/>
    </row>
    <row r="250" spans="6:6">
      <c r="F250" s="146"/>
    </row>
    <row r="251" spans="6:6">
      <c r="F251" s="146"/>
    </row>
    <row r="252" spans="6:6">
      <c r="F252" s="146"/>
    </row>
    <row r="253" spans="6:6">
      <c r="F253" s="146"/>
    </row>
    <row r="254" spans="6:6">
      <c r="F254" s="146"/>
    </row>
    <row r="255" spans="6:6">
      <c r="F255" s="146"/>
    </row>
    <row r="256" spans="6:6">
      <c r="F256" s="146"/>
    </row>
    <row r="257" spans="6:6">
      <c r="F257" s="146"/>
    </row>
    <row r="258" spans="6:6">
      <c r="F258" s="146"/>
    </row>
    <row r="259" spans="6:6">
      <c r="F259" s="146"/>
    </row>
    <row r="260" spans="6:6">
      <c r="F260" s="146"/>
    </row>
    <row r="261" spans="6:6">
      <c r="F261" s="146"/>
    </row>
    <row r="262" spans="6:6">
      <c r="F262" s="146"/>
    </row>
    <row r="263" spans="6:6">
      <c r="F263" s="146"/>
    </row>
    <row r="264" spans="6:6">
      <c r="F264" s="146"/>
    </row>
    <row r="265" spans="6:6">
      <c r="F265" s="146"/>
    </row>
    <row r="266" spans="6:6">
      <c r="F266" s="146"/>
    </row>
    <row r="267" spans="6:6">
      <c r="F267" s="146"/>
    </row>
    <row r="268" spans="6:6">
      <c r="F268" s="146"/>
    </row>
    <row r="269" spans="6:6">
      <c r="F269" s="146"/>
    </row>
    <row r="270" spans="6:6">
      <c r="F270" s="146"/>
    </row>
    <row r="271" spans="6:6">
      <c r="F271" s="146"/>
    </row>
    <row r="272" spans="6:6">
      <c r="F272" s="146"/>
    </row>
    <row r="273" spans="6:6">
      <c r="F273" s="146"/>
    </row>
    <row r="274" spans="6:6">
      <c r="F274" s="146"/>
    </row>
    <row r="275" spans="6:6">
      <c r="F275" s="146"/>
    </row>
    <row r="276" spans="6:6">
      <c r="F276" s="146"/>
    </row>
    <row r="277" spans="6:6">
      <c r="F277" s="146"/>
    </row>
    <row r="278" spans="6:6">
      <c r="F278" s="146"/>
    </row>
    <row r="279" spans="6:6">
      <c r="F279" s="146"/>
    </row>
    <row r="280" spans="6:6">
      <c r="F280" s="146"/>
    </row>
    <row r="281" spans="6:6">
      <c r="F281" s="146"/>
    </row>
    <row r="282" spans="6:6">
      <c r="F282" s="146"/>
    </row>
    <row r="283" spans="6:6">
      <c r="F283" s="146"/>
    </row>
    <row r="284" spans="6:6">
      <c r="F284" s="146"/>
    </row>
    <row r="285" spans="6:6">
      <c r="F285" s="146"/>
    </row>
    <row r="286" spans="6:6">
      <c r="F286" s="146"/>
    </row>
    <row r="287" spans="6:6">
      <c r="F287" s="146"/>
    </row>
    <row r="288" spans="6:6">
      <c r="F288" s="146"/>
    </row>
    <row r="289" spans="6:6">
      <c r="F289" s="146"/>
    </row>
    <row r="290" spans="6:6">
      <c r="F290" s="146"/>
    </row>
    <row r="291" spans="6:6">
      <c r="F291" s="146"/>
    </row>
    <row r="292" spans="6:6">
      <c r="F292" s="146"/>
    </row>
    <row r="293" spans="6:6">
      <c r="F293" s="146"/>
    </row>
    <row r="294" spans="6:6">
      <c r="F294" s="146"/>
    </row>
    <row r="295" spans="6:6">
      <c r="F295" s="146"/>
    </row>
    <row r="296" spans="6:6">
      <c r="F296" s="146"/>
    </row>
    <row r="297" spans="6:6">
      <c r="F297" s="146"/>
    </row>
    <row r="298" spans="6:6">
      <c r="F298" s="146"/>
    </row>
    <row r="299" spans="6:6">
      <c r="F299" s="146"/>
    </row>
    <row r="300" spans="6:6">
      <c r="F300" s="146"/>
    </row>
    <row r="301" spans="6:6">
      <c r="F301" s="146"/>
    </row>
    <row r="302" spans="6:6">
      <c r="F302" s="146"/>
    </row>
    <row r="303" spans="6:6">
      <c r="F303" s="146"/>
    </row>
    <row r="304" spans="6:6">
      <c r="F304" s="146"/>
    </row>
    <row r="305" spans="6:6">
      <c r="F305" s="146"/>
    </row>
    <row r="306" spans="6:6">
      <c r="F306" s="146"/>
    </row>
    <row r="307" spans="6:6">
      <c r="F307" s="146"/>
    </row>
    <row r="308" spans="6:6">
      <c r="F308" s="146"/>
    </row>
    <row r="309" spans="6:6">
      <c r="F309" s="146"/>
    </row>
    <row r="310" spans="6:6">
      <c r="F310" s="146"/>
    </row>
    <row r="311" spans="6:6">
      <c r="F311" s="146"/>
    </row>
    <row r="312" spans="6:6">
      <c r="F312" s="146"/>
    </row>
    <row r="313" spans="6:6">
      <c r="F313" s="146"/>
    </row>
    <row r="314" spans="6:6">
      <c r="F314" s="146"/>
    </row>
    <row r="315" spans="6:6">
      <c r="F315" s="146"/>
    </row>
    <row r="316" spans="6:6">
      <c r="F316" s="146"/>
    </row>
    <row r="317" spans="6:6">
      <c r="F317" s="146"/>
    </row>
    <row r="318" spans="6:6">
      <c r="F318" s="146"/>
    </row>
    <row r="319" spans="6:6">
      <c r="F319" s="146"/>
    </row>
    <row r="320" spans="6:6">
      <c r="F320" s="146"/>
    </row>
    <row r="321" spans="6:6">
      <c r="F321" s="146"/>
    </row>
    <row r="322" spans="6:6">
      <c r="F322" s="146"/>
    </row>
    <row r="323" spans="6:6">
      <c r="F323" s="146"/>
    </row>
    <row r="324" spans="6:6">
      <c r="F324" s="146"/>
    </row>
    <row r="325" spans="6:6">
      <c r="F325" s="146"/>
    </row>
    <row r="326" spans="6:6">
      <c r="F326" s="146"/>
    </row>
    <row r="327" spans="6:6">
      <c r="F327" s="146"/>
    </row>
    <row r="328" spans="6:6">
      <c r="F328" s="146"/>
    </row>
    <row r="329" spans="6:6">
      <c r="F329" s="146"/>
    </row>
    <row r="330" spans="6:6">
      <c r="F330" s="146"/>
    </row>
    <row r="331" spans="6:6">
      <c r="F331" s="146"/>
    </row>
    <row r="332" spans="6:6">
      <c r="F332" s="146"/>
    </row>
    <row r="333" spans="6:6">
      <c r="F333" s="146"/>
    </row>
    <row r="334" spans="6:6">
      <c r="F334" s="146"/>
    </row>
    <row r="335" spans="6:6">
      <c r="F335" s="146"/>
    </row>
    <row r="336" spans="6:6">
      <c r="F336" s="146"/>
    </row>
    <row r="337" spans="6:6">
      <c r="F337" s="146"/>
    </row>
    <row r="338" spans="6:6">
      <c r="F338" s="146"/>
    </row>
    <row r="339" spans="6:6">
      <c r="F339" s="146"/>
    </row>
    <row r="340" spans="6:6">
      <c r="F340" s="146"/>
    </row>
    <row r="341" spans="6:6">
      <c r="F341" s="146"/>
    </row>
    <row r="342" spans="6:6">
      <c r="F342" s="146"/>
    </row>
    <row r="343" spans="6:6">
      <c r="F343" s="146"/>
    </row>
    <row r="344" spans="6:6">
      <c r="F344" s="146"/>
    </row>
    <row r="345" spans="6:6">
      <c r="F345" s="146"/>
    </row>
    <row r="346" spans="6:6">
      <c r="F346" s="146"/>
    </row>
    <row r="347" spans="6:6">
      <c r="F347" s="146"/>
    </row>
    <row r="348" spans="6:6">
      <c r="F348" s="146"/>
    </row>
    <row r="349" spans="6:6">
      <c r="F349" s="146"/>
    </row>
    <row r="350" spans="6:6">
      <c r="F350" s="146"/>
    </row>
    <row r="351" spans="6:6">
      <c r="F351" s="146"/>
    </row>
    <row r="352" spans="6:6">
      <c r="F352" s="146"/>
    </row>
    <row r="353" spans="6:6">
      <c r="F353" s="146"/>
    </row>
    <row r="354" spans="6:6">
      <c r="F354" s="146"/>
    </row>
    <row r="355" spans="6:6">
      <c r="F355" s="146"/>
    </row>
    <row r="356" spans="6:6">
      <c r="F356" s="146"/>
    </row>
    <row r="357" spans="6:6">
      <c r="F357" s="146"/>
    </row>
    <row r="358" spans="6:6">
      <c r="F358" s="146"/>
    </row>
    <row r="359" spans="6:6">
      <c r="F359" s="146"/>
    </row>
    <row r="360" spans="6:6">
      <c r="F360" s="146"/>
    </row>
    <row r="361" spans="6:6">
      <c r="F361" s="146"/>
    </row>
    <row r="362" spans="6:6">
      <c r="F362" s="146"/>
    </row>
    <row r="363" spans="6:6">
      <c r="F363" s="146"/>
    </row>
    <row r="364" spans="6:6">
      <c r="F364" s="146"/>
    </row>
    <row r="365" spans="6:6">
      <c r="F365" s="146"/>
    </row>
    <row r="366" spans="6:6">
      <c r="F366" s="146"/>
    </row>
    <row r="367" spans="6:6">
      <c r="F367" s="146"/>
    </row>
    <row r="368" spans="6:6">
      <c r="F368" s="146"/>
    </row>
    <row r="369" spans="6:6">
      <c r="F369" s="146"/>
    </row>
    <row r="370" spans="6:6">
      <c r="F370" s="146"/>
    </row>
    <row r="371" spans="6:6">
      <c r="F371" s="146"/>
    </row>
    <row r="372" spans="6:6">
      <c r="F372" s="146"/>
    </row>
    <row r="373" spans="6:6">
      <c r="F373" s="146"/>
    </row>
    <row r="374" spans="6:6">
      <c r="F374" s="146"/>
    </row>
    <row r="375" spans="6:6">
      <c r="F375" s="146"/>
    </row>
    <row r="376" spans="6:6">
      <c r="F376" s="146"/>
    </row>
    <row r="377" spans="6:6">
      <c r="F377" s="146"/>
    </row>
    <row r="378" spans="6:6">
      <c r="F378" s="146"/>
    </row>
    <row r="379" spans="6:6">
      <c r="F379" s="146"/>
    </row>
    <row r="380" spans="6:6">
      <c r="F380" s="146"/>
    </row>
    <row r="381" spans="6:6">
      <c r="F381" s="146"/>
    </row>
    <row r="382" spans="6:6">
      <c r="F382" s="146"/>
    </row>
    <row r="383" spans="6:6">
      <c r="F383" s="146"/>
    </row>
    <row r="384" spans="6:6">
      <c r="F384" s="146"/>
    </row>
    <row r="385" spans="6:6">
      <c r="F385" s="146"/>
    </row>
    <row r="386" spans="6:6">
      <c r="F386" s="146"/>
    </row>
    <row r="387" spans="6:6">
      <c r="F387" s="146"/>
    </row>
    <row r="388" spans="6:6">
      <c r="F388" s="146"/>
    </row>
    <row r="389" spans="6:6">
      <c r="F389" s="146"/>
    </row>
    <row r="390" spans="6:6">
      <c r="F390" s="146"/>
    </row>
    <row r="391" spans="6:6">
      <c r="F391" s="146"/>
    </row>
    <row r="392" spans="6:6">
      <c r="F392" s="146"/>
    </row>
    <row r="393" spans="6:6">
      <c r="F393" s="146"/>
    </row>
    <row r="394" spans="6:6">
      <c r="F394" s="146"/>
    </row>
    <row r="395" spans="6:6">
      <c r="F395" s="146"/>
    </row>
    <row r="396" spans="6:6">
      <c r="F396" s="146"/>
    </row>
    <row r="397" spans="6:6">
      <c r="F397" s="146"/>
    </row>
    <row r="398" spans="6:6">
      <c r="F398" s="146"/>
    </row>
    <row r="399" spans="6:6">
      <c r="F399" s="146"/>
    </row>
    <row r="400" spans="6:6">
      <c r="F400" s="146"/>
    </row>
    <row r="401" spans="6:6">
      <c r="F401" s="146"/>
    </row>
    <row r="402" spans="6:6">
      <c r="F402" s="146"/>
    </row>
    <row r="403" spans="6:6">
      <c r="F403" s="146"/>
    </row>
    <row r="404" spans="6:6">
      <c r="F404" s="146"/>
    </row>
    <row r="405" spans="6:6">
      <c r="F405" s="146"/>
    </row>
    <row r="406" spans="6:6">
      <c r="F406" s="146"/>
    </row>
    <row r="407" spans="6:6">
      <c r="F407" s="146"/>
    </row>
    <row r="408" spans="6:6">
      <c r="F408" s="146"/>
    </row>
    <row r="409" spans="6:6">
      <c r="F409" s="146"/>
    </row>
    <row r="410" spans="6:6">
      <c r="F410" s="146"/>
    </row>
    <row r="411" spans="6:6">
      <c r="F411" s="146"/>
    </row>
    <row r="412" spans="6:6">
      <c r="F412" s="146"/>
    </row>
    <row r="413" spans="6:6">
      <c r="F413" s="146"/>
    </row>
    <row r="414" spans="6:6">
      <c r="F414" s="146"/>
    </row>
    <row r="415" spans="6:6">
      <c r="F415" s="146"/>
    </row>
    <row r="416" spans="6:6">
      <c r="F416" s="146"/>
    </row>
    <row r="417" spans="6:6">
      <c r="F417" s="146"/>
    </row>
    <row r="418" spans="6:6">
      <c r="F418" s="146"/>
    </row>
    <row r="419" spans="6:6">
      <c r="F419" s="146"/>
    </row>
    <row r="420" spans="6:6">
      <c r="F420" s="146"/>
    </row>
    <row r="421" spans="6:6">
      <c r="F421" s="146"/>
    </row>
    <row r="422" spans="6:6">
      <c r="F422" s="146"/>
    </row>
    <row r="423" spans="6:6">
      <c r="F423" s="146"/>
    </row>
    <row r="424" spans="6:6">
      <c r="F424" s="146"/>
    </row>
    <row r="425" spans="6:6">
      <c r="F425" s="146"/>
    </row>
    <row r="426" spans="6:6">
      <c r="F426" s="146"/>
    </row>
    <row r="427" spans="6:6">
      <c r="F427" s="146"/>
    </row>
    <row r="428" spans="6:6">
      <c r="F428" s="146"/>
    </row>
    <row r="429" spans="6:6">
      <c r="F429" s="146"/>
    </row>
    <row r="430" spans="6:6">
      <c r="F430" s="146"/>
    </row>
    <row r="431" spans="6:6">
      <c r="F431" s="146"/>
    </row>
    <row r="432" spans="6:6">
      <c r="F432" s="146"/>
    </row>
    <row r="433" spans="6:6">
      <c r="F433" s="146"/>
    </row>
    <row r="434" spans="6:6">
      <c r="F434" s="146"/>
    </row>
    <row r="435" spans="6:6">
      <c r="F435" s="146"/>
    </row>
    <row r="436" spans="6:6">
      <c r="F436" s="146"/>
    </row>
    <row r="437" spans="6:6">
      <c r="F437" s="146"/>
    </row>
    <row r="438" spans="6:6">
      <c r="F438" s="146"/>
    </row>
    <row r="439" spans="6:6">
      <c r="F439" s="146"/>
    </row>
    <row r="440" spans="6:6">
      <c r="F440" s="146"/>
    </row>
    <row r="441" spans="6:6">
      <c r="F441" s="146"/>
    </row>
    <row r="442" spans="6:6">
      <c r="F442" s="146"/>
    </row>
    <row r="443" spans="6:6">
      <c r="F443" s="146"/>
    </row>
    <row r="444" spans="6:6">
      <c r="F444" s="146"/>
    </row>
    <row r="445" spans="6:6">
      <c r="F445" s="146"/>
    </row>
    <row r="446" spans="6:6">
      <c r="F446" s="146"/>
    </row>
    <row r="447" spans="6:6">
      <c r="F447" s="146"/>
    </row>
    <row r="448" spans="6:6">
      <c r="F448" s="146"/>
    </row>
    <row r="449" spans="6:6">
      <c r="F449" s="146"/>
    </row>
    <row r="450" spans="6:6">
      <c r="F450" s="146"/>
    </row>
    <row r="451" spans="6:6">
      <c r="F451" s="146"/>
    </row>
    <row r="452" spans="6:6">
      <c r="F452" s="146"/>
    </row>
    <row r="453" spans="6:6">
      <c r="F453" s="146"/>
    </row>
    <row r="454" spans="6:6">
      <c r="F454" s="146"/>
    </row>
    <row r="455" spans="6:6">
      <c r="F455" s="146"/>
    </row>
    <row r="456" spans="6:6">
      <c r="F456" s="146"/>
    </row>
    <row r="457" spans="6:6">
      <c r="F457" s="146"/>
    </row>
    <row r="458" spans="6:6">
      <c r="F458" s="146"/>
    </row>
    <row r="459" spans="6:6">
      <c r="F459" s="146"/>
    </row>
    <row r="460" spans="6:6">
      <c r="F460" s="146"/>
    </row>
    <row r="461" spans="6:6">
      <c r="F461" s="146"/>
    </row>
    <row r="462" spans="6:6">
      <c r="F462" s="146"/>
    </row>
    <row r="463" spans="6:6">
      <c r="F463" s="146"/>
    </row>
    <row r="464" spans="6:6">
      <c r="F464" s="146"/>
    </row>
    <row r="465" spans="6:6">
      <c r="F465" s="146"/>
    </row>
    <row r="466" spans="6:6">
      <c r="F466" s="146"/>
    </row>
    <row r="467" spans="6:6">
      <c r="F467" s="146"/>
    </row>
    <row r="468" spans="6:6">
      <c r="F468" s="146"/>
    </row>
    <row r="469" spans="6:6">
      <c r="F469" s="146"/>
    </row>
    <row r="470" spans="6:6">
      <c r="F470" s="146"/>
    </row>
    <row r="471" spans="6:6">
      <c r="F471" s="146"/>
    </row>
    <row r="472" spans="6:6">
      <c r="F472" s="146"/>
    </row>
    <row r="473" spans="6:6">
      <c r="F473" s="146"/>
    </row>
    <row r="474" spans="6:6">
      <c r="F474" s="146"/>
    </row>
    <row r="475" spans="6:6">
      <c r="F475" s="146"/>
    </row>
    <row r="476" spans="6:6">
      <c r="F476" s="146"/>
    </row>
    <row r="477" spans="6:6">
      <c r="F477" s="146"/>
    </row>
    <row r="478" spans="6:6">
      <c r="F478" s="146"/>
    </row>
    <row r="479" spans="6:6">
      <c r="F479" s="146"/>
    </row>
    <row r="480" spans="6:6">
      <c r="F480" s="146"/>
    </row>
    <row r="481" spans="6:6">
      <c r="F481" s="146"/>
    </row>
    <row r="482" spans="6:6">
      <c r="F482" s="146"/>
    </row>
    <row r="483" spans="6:6">
      <c r="F483" s="146"/>
    </row>
    <row r="484" spans="6:6">
      <c r="F484" s="146"/>
    </row>
    <row r="485" spans="6:6">
      <c r="F485" s="146"/>
    </row>
    <row r="486" spans="6:6">
      <c r="F486" s="146"/>
    </row>
    <row r="487" spans="6:6">
      <c r="F487" s="146"/>
    </row>
    <row r="488" spans="6:6">
      <c r="F488" s="146"/>
    </row>
    <row r="489" spans="6:6">
      <c r="F489" s="146"/>
    </row>
    <row r="490" spans="6:6">
      <c r="F490" s="146"/>
    </row>
    <row r="491" spans="6:6">
      <c r="F491" s="146"/>
    </row>
    <row r="492" spans="6:6">
      <c r="F492" s="146"/>
    </row>
    <row r="493" spans="6:6">
      <c r="F493" s="146"/>
    </row>
    <row r="494" spans="6:6">
      <c r="F494" s="146"/>
    </row>
    <row r="495" spans="6:6">
      <c r="F495" s="146"/>
    </row>
    <row r="496" spans="6:6">
      <c r="F496" s="146"/>
    </row>
    <row r="497" spans="6:6">
      <c r="F497" s="146"/>
    </row>
    <row r="498" spans="6:6">
      <c r="F498" s="146"/>
    </row>
    <row r="499" spans="6:6">
      <c r="F499" s="146"/>
    </row>
    <row r="500" spans="6:6">
      <c r="F500" s="146"/>
    </row>
    <row r="501" spans="6:6">
      <c r="F501" s="146"/>
    </row>
    <row r="502" spans="6:6">
      <c r="F502" s="146"/>
    </row>
    <row r="503" spans="6:6">
      <c r="F503" s="146"/>
    </row>
    <row r="504" spans="6:6">
      <c r="F504" s="146"/>
    </row>
    <row r="505" spans="6:6">
      <c r="F505" s="146"/>
    </row>
    <row r="506" spans="6:6">
      <c r="F506" s="146"/>
    </row>
    <row r="507" spans="6:6">
      <c r="F507" s="146"/>
    </row>
    <row r="508" spans="6:6">
      <c r="F508" s="146"/>
    </row>
    <row r="509" spans="6:6">
      <c r="F509" s="146"/>
    </row>
    <row r="510" spans="6:6">
      <c r="F510" s="146"/>
    </row>
    <row r="511" spans="6:6">
      <c r="F511" s="146"/>
    </row>
    <row r="512" spans="6:6">
      <c r="F512" s="146"/>
    </row>
    <row r="513" spans="6:6">
      <c r="F513" s="146"/>
    </row>
    <row r="514" spans="6:6">
      <c r="F514" s="146"/>
    </row>
    <row r="515" spans="6:6">
      <c r="F515" s="146"/>
    </row>
    <row r="516" spans="6:6">
      <c r="F516" s="146"/>
    </row>
    <row r="517" spans="6:6">
      <c r="F517" s="146"/>
    </row>
    <row r="518" spans="6:6">
      <c r="F518" s="146"/>
    </row>
    <row r="519" spans="6:6">
      <c r="F519" s="146"/>
    </row>
    <row r="520" spans="6:6">
      <c r="F520" s="146"/>
    </row>
    <row r="521" spans="6:6">
      <c r="F521" s="146"/>
    </row>
    <row r="522" spans="6:6">
      <c r="F522" s="146"/>
    </row>
    <row r="523" spans="6:6">
      <c r="F523" s="146"/>
    </row>
    <row r="524" spans="6:6">
      <c r="F524" s="146"/>
    </row>
    <row r="525" spans="6:6">
      <c r="F525" s="146"/>
    </row>
    <row r="526" spans="6:6">
      <c r="F526" s="146"/>
    </row>
    <row r="527" spans="6:6">
      <c r="F527" s="146"/>
    </row>
    <row r="528" spans="6:6">
      <c r="F528" s="146"/>
    </row>
    <row r="529" spans="6:6">
      <c r="F529" s="146"/>
    </row>
    <row r="530" spans="6:6">
      <c r="F530" s="146"/>
    </row>
    <row r="531" spans="6:6">
      <c r="F531" s="146"/>
    </row>
    <row r="532" spans="6:6">
      <c r="F532" s="146"/>
    </row>
    <row r="533" spans="6:6">
      <c r="F533" s="146"/>
    </row>
    <row r="534" spans="6:6">
      <c r="F534" s="146"/>
    </row>
    <row r="535" spans="6:6">
      <c r="F535" s="146"/>
    </row>
    <row r="536" spans="6:6">
      <c r="F536" s="146"/>
    </row>
    <row r="537" spans="6:6">
      <c r="F537" s="146"/>
    </row>
    <row r="538" spans="6:6">
      <c r="F538" s="146"/>
    </row>
    <row r="539" spans="6:6">
      <c r="F539" s="146"/>
    </row>
    <row r="540" spans="6:6">
      <c r="F540" s="146"/>
    </row>
    <row r="541" spans="6:6">
      <c r="F541" s="146"/>
    </row>
    <row r="542" spans="6:6">
      <c r="F542" s="146"/>
    </row>
    <row r="543" spans="6:6">
      <c r="F543" s="146"/>
    </row>
    <row r="544" spans="6:6">
      <c r="F544" s="146"/>
    </row>
    <row r="545" spans="6:6">
      <c r="F545" s="146"/>
    </row>
    <row r="546" spans="6:6">
      <c r="F546" s="146"/>
    </row>
    <row r="547" spans="6:6">
      <c r="F547" s="146"/>
    </row>
    <row r="548" spans="6:6">
      <c r="F548" s="146"/>
    </row>
    <row r="549" spans="6:6">
      <c r="F549" s="146"/>
    </row>
    <row r="550" spans="6:6">
      <c r="F550" s="146"/>
    </row>
    <row r="551" spans="6:6">
      <c r="F551" s="146"/>
    </row>
    <row r="552" spans="6:6">
      <c r="F552" s="146"/>
    </row>
    <row r="553" spans="6:6">
      <c r="F553" s="146"/>
    </row>
    <row r="554" spans="6:6">
      <c r="F554" s="146"/>
    </row>
    <row r="555" spans="6:6">
      <c r="F555" s="146"/>
    </row>
    <row r="556" spans="6:6">
      <c r="F556" s="146"/>
    </row>
    <row r="557" spans="6:6">
      <c r="F557" s="146"/>
    </row>
    <row r="558" spans="6:6">
      <c r="F558" s="146"/>
    </row>
    <row r="559" spans="6:6">
      <c r="F559" s="146"/>
    </row>
    <row r="560" spans="6:6">
      <c r="F560" s="146"/>
    </row>
    <row r="561" spans="6:6">
      <c r="F561" s="146"/>
    </row>
    <row r="562" spans="6:6">
      <c r="F562" s="146"/>
    </row>
    <row r="563" spans="6:6">
      <c r="F563" s="146"/>
    </row>
    <row r="564" spans="6:6">
      <c r="F564" s="146"/>
    </row>
    <row r="565" spans="6:6">
      <c r="F565" s="146"/>
    </row>
    <row r="566" spans="6:6">
      <c r="F566" s="146"/>
    </row>
    <row r="567" spans="6:6">
      <c r="F567" s="146"/>
    </row>
    <row r="568" spans="6:6">
      <c r="F568" s="146"/>
    </row>
    <row r="569" spans="6:6">
      <c r="F569" s="146"/>
    </row>
    <row r="570" spans="6:6">
      <c r="F570" s="146"/>
    </row>
    <row r="571" spans="6:6">
      <c r="F571" s="146"/>
    </row>
    <row r="572" spans="6:6">
      <c r="F572" s="146"/>
    </row>
    <row r="573" spans="6:6">
      <c r="F573" s="146"/>
    </row>
    <row r="574" spans="6:6">
      <c r="F574" s="146"/>
    </row>
    <row r="575" spans="6:6">
      <c r="F575" s="146"/>
    </row>
    <row r="576" spans="6:6">
      <c r="F576" s="146"/>
    </row>
    <row r="577" spans="6:6">
      <c r="F577" s="146"/>
    </row>
    <row r="578" spans="6:6">
      <c r="F578" s="146"/>
    </row>
    <row r="579" spans="6:6">
      <c r="F579" s="146"/>
    </row>
    <row r="580" spans="6:6">
      <c r="F580" s="146"/>
    </row>
    <row r="581" spans="6:6">
      <c r="F581" s="146"/>
    </row>
    <row r="582" spans="6:6">
      <c r="F582" s="146"/>
    </row>
    <row r="583" spans="6:6">
      <c r="F583" s="146"/>
    </row>
    <row r="584" spans="6:6">
      <c r="F584" s="146"/>
    </row>
    <row r="585" spans="6:6">
      <c r="F585" s="146"/>
    </row>
    <row r="586" spans="6:6">
      <c r="F586" s="146"/>
    </row>
    <row r="587" spans="6:6">
      <c r="F587" s="146"/>
    </row>
    <row r="588" spans="6:6">
      <c r="F588" s="146"/>
    </row>
    <row r="589" spans="6:6">
      <c r="F589" s="146"/>
    </row>
    <row r="590" spans="6:6">
      <c r="F590" s="146"/>
    </row>
    <row r="591" spans="6:6">
      <c r="F591" s="146"/>
    </row>
    <row r="592" spans="6:6">
      <c r="F592" s="146"/>
    </row>
    <row r="593" spans="6:6">
      <c r="F593" s="146"/>
    </row>
    <row r="594" spans="6:6">
      <c r="F594" s="146"/>
    </row>
    <row r="595" spans="6:6">
      <c r="F595" s="146"/>
    </row>
    <row r="596" spans="6:6">
      <c r="F596" s="146"/>
    </row>
    <row r="597" spans="6:6">
      <c r="F597" s="146"/>
    </row>
    <row r="598" spans="6:6">
      <c r="F598" s="146"/>
    </row>
    <row r="599" spans="6:6">
      <c r="F599" s="146"/>
    </row>
    <row r="600" spans="6:6">
      <c r="F600" s="146"/>
    </row>
    <row r="601" spans="6:6">
      <c r="F601" s="146"/>
    </row>
    <row r="602" spans="6:6">
      <c r="F602" s="146"/>
    </row>
    <row r="603" spans="6:6">
      <c r="F603" s="146"/>
    </row>
    <row r="604" spans="6:6">
      <c r="F604" s="146"/>
    </row>
    <row r="605" spans="6:6">
      <c r="F605" s="146"/>
    </row>
    <row r="606" spans="6:6">
      <c r="F606" s="146"/>
    </row>
    <row r="607" spans="6:6">
      <c r="F607" s="146"/>
    </row>
    <row r="608" spans="6:6">
      <c r="F608" s="146"/>
    </row>
    <row r="609" spans="6:6">
      <c r="F609" s="146"/>
    </row>
    <row r="610" spans="6:6">
      <c r="F610" s="146"/>
    </row>
    <row r="611" spans="6:6">
      <c r="F611" s="146"/>
    </row>
    <row r="612" spans="6:6">
      <c r="F612" s="146"/>
    </row>
    <row r="613" spans="6:6">
      <c r="F613" s="146"/>
    </row>
    <row r="614" spans="6:6">
      <c r="F614" s="146"/>
    </row>
    <row r="615" spans="6:6">
      <c r="F615" s="146"/>
    </row>
    <row r="616" spans="6:6">
      <c r="F616" s="146"/>
    </row>
    <row r="617" spans="6:6">
      <c r="F617" s="146"/>
    </row>
    <row r="618" spans="6:6">
      <c r="F618" s="146"/>
    </row>
    <row r="619" spans="6:6">
      <c r="F619" s="146"/>
    </row>
    <row r="620" spans="6:6">
      <c r="F620" s="146"/>
    </row>
    <row r="621" spans="6:6">
      <c r="F621" s="146"/>
    </row>
    <row r="622" spans="6:6">
      <c r="F622" s="146"/>
    </row>
    <row r="623" spans="6:6">
      <c r="F623" s="146"/>
    </row>
    <row r="624" spans="6:6">
      <c r="F624" s="146"/>
    </row>
    <row r="625" spans="6:6">
      <c r="F625" s="146"/>
    </row>
    <row r="626" spans="6:6">
      <c r="F626" s="146"/>
    </row>
    <row r="627" spans="6:6">
      <c r="F627" s="146"/>
    </row>
    <row r="628" spans="6:6">
      <c r="F628" s="146"/>
    </row>
    <row r="629" spans="6:6">
      <c r="F629" s="146"/>
    </row>
    <row r="630" spans="6:6">
      <c r="F630" s="146"/>
    </row>
    <row r="631" spans="6:6">
      <c r="F631" s="146"/>
    </row>
    <row r="632" spans="6:6">
      <c r="F632" s="146"/>
    </row>
    <row r="633" spans="6:6">
      <c r="F633" s="146"/>
    </row>
    <row r="634" spans="6:6">
      <c r="F634" s="146"/>
    </row>
    <row r="635" spans="6:6">
      <c r="F635" s="146"/>
    </row>
    <row r="636" spans="6:6">
      <c r="F636" s="146"/>
    </row>
    <row r="637" spans="6:6">
      <c r="F637" s="146"/>
    </row>
    <row r="638" spans="6:6">
      <c r="F638" s="146"/>
    </row>
    <row r="639" spans="6:6">
      <c r="F639" s="146"/>
    </row>
    <row r="640" spans="6:6">
      <c r="F640" s="146"/>
    </row>
    <row r="641" spans="6:6">
      <c r="F641" s="146"/>
    </row>
    <row r="642" spans="6:6">
      <c r="F642" s="146"/>
    </row>
    <row r="643" spans="6:6">
      <c r="F643" s="146"/>
    </row>
    <row r="644" spans="6:6">
      <c r="F644" s="146"/>
    </row>
    <row r="645" spans="6:6">
      <c r="F645" s="146"/>
    </row>
    <row r="646" spans="6:6">
      <c r="F646" s="146"/>
    </row>
    <row r="647" spans="6:6">
      <c r="F647" s="146"/>
    </row>
    <row r="648" spans="6:6">
      <c r="F648" s="146"/>
    </row>
    <row r="649" spans="6:6">
      <c r="F649" s="146"/>
    </row>
    <row r="650" spans="6:6">
      <c r="F650" s="146"/>
    </row>
    <row r="651" spans="6:6">
      <c r="F651" s="146"/>
    </row>
    <row r="652" spans="6:6">
      <c r="F652" s="146"/>
    </row>
    <row r="653" spans="6:6">
      <c r="F653" s="146"/>
    </row>
    <row r="654" spans="6:6">
      <c r="F654" s="146"/>
    </row>
    <row r="655" spans="6:6">
      <c r="F655" s="146"/>
    </row>
    <row r="656" spans="6:6">
      <c r="F656" s="146"/>
    </row>
    <row r="657" spans="6:6">
      <c r="F657" s="146"/>
    </row>
    <row r="658" spans="6:6">
      <c r="F658" s="146"/>
    </row>
    <row r="659" spans="6:6">
      <c r="F659" s="146"/>
    </row>
    <row r="660" spans="6:6">
      <c r="F660" s="146"/>
    </row>
    <row r="661" spans="6:6">
      <c r="F661" s="146"/>
    </row>
    <row r="662" spans="6:6">
      <c r="F662" s="146"/>
    </row>
    <row r="663" spans="6:6">
      <c r="F663" s="146"/>
    </row>
    <row r="664" spans="6:6">
      <c r="F664" s="146"/>
    </row>
    <row r="665" spans="6:6">
      <c r="F665" s="146"/>
    </row>
    <row r="666" spans="6:6">
      <c r="F666" s="146"/>
    </row>
    <row r="667" spans="6:6">
      <c r="F667" s="146"/>
    </row>
    <row r="668" spans="6:6">
      <c r="F668" s="146"/>
    </row>
    <row r="669" spans="6:6">
      <c r="F669" s="146"/>
    </row>
    <row r="670" spans="6:6">
      <c r="F670" s="146"/>
    </row>
    <row r="671" spans="6:6">
      <c r="F671" s="146"/>
    </row>
    <row r="672" spans="6:6">
      <c r="F672" s="146"/>
    </row>
    <row r="673" spans="6:6">
      <c r="F673" s="146"/>
    </row>
    <row r="674" spans="6:6">
      <c r="F674" s="146"/>
    </row>
    <row r="675" spans="6:6">
      <c r="F675" s="146"/>
    </row>
    <row r="676" spans="6:6">
      <c r="F676" s="146"/>
    </row>
    <row r="677" spans="6:6">
      <c r="F677" s="146"/>
    </row>
    <row r="678" spans="6:6">
      <c r="F678" s="146"/>
    </row>
    <row r="679" spans="6:6">
      <c r="F679" s="146"/>
    </row>
    <row r="680" spans="6:6">
      <c r="F680" s="146"/>
    </row>
    <row r="681" spans="6:6">
      <c r="F681" s="146"/>
    </row>
    <row r="682" spans="6:6">
      <c r="F682" s="146"/>
    </row>
    <row r="683" spans="6:6">
      <c r="F683" s="146"/>
    </row>
    <row r="684" spans="6:6">
      <c r="F684" s="146"/>
    </row>
    <row r="685" spans="6:6">
      <c r="F685" s="146"/>
    </row>
    <row r="686" spans="6:6">
      <c r="F686" s="146"/>
    </row>
    <row r="687" spans="6:6">
      <c r="F687" s="146"/>
    </row>
    <row r="688" spans="6:6">
      <c r="F688" s="146"/>
    </row>
    <row r="689" spans="6:6">
      <c r="F689" s="146"/>
    </row>
    <row r="690" spans="6:6">
      <c r="F690" s="146"/>
    </row>
    <row r="691" spans="6:6">
      <c r="F691" s="146"/>
    </row>
    <row r="692" spans="6:6">
      <c r="F692" s="146"/>
    </row>
    <row r="693" spans="6:6">
      <c r="F693" s="146"/>
    </row>
    <row r="694" spans="6:6">
      <c r="F694" s="146"/>
    </row>
    <row r="695" spans="6:6">
      <c r="F695" s="146"/>
    </row>
    <row r="696" spans="6:6">
      <c r="F696" s="146"/>
    </row>
    <row r="697" spans="6:6">
      <c r="F697" s="146"/>
    </row>
    <row r="698" spans="6:6">
      <c r="F698" s="146"/>
    </row>
    <row r="699" spans="6:6">
      <c r="F699" s="146"/>
    </row>
    <row r="700" spans="6:6">
      <c r="F700" s="146"/>
    </row>
    <row r="701" spans="6:6">
      <c r="F701" s="146"/>
    </row>
    <row r="702" spans="6:6">
      <c r="F702" s="146"/>
    </row>
    <row r="703" spans="6:6">
      <c r="F703" s="146"/>
    </row>
    <row r="704" spans="6:6">
      <c r="F704" s="146"/>
    </row>
    <row r="705" spans="6:6">
      <c r="F705" s="146"/>
    </row>
    <row r="706" spans="6:6">
      <c r="F706" s="146"/>
    </row>
    <row r="707" spans="6:6">
      <c r="F707" s="146"/>
    </row>
    <row r="708" spans="6:6">
      <c r="F708" s="146"/>
    </row>
    <row r="709" spans="6:6">
      <c r="F709" s="146"/>
    </row>
    <row r="710" spans="6:6">
      <c r="F710" s="146"/>
    </row>
    <row r="711" spans="6:6">
      <c r="F711" s="146"/>
    </row>
    <row r="712" spans="6:6">
      <c r="F712" s="146"/>
    </row>
    <row r="713" spans="6:6">
      <c r="F713" s="146"/>
    </row>
    <row r="714" spans="6:6">
      <c r="F714" s="146"/>
    </row>
    <row r="715" spans="6:6">
      <c r="F715" s="146"/>
    </row>
    <row r="716" spans="6:6">
      <c r="F716" s="146"/>
    </row>
    <row r="717" spans="6:6">
      <c r="F717" s="146"/>
    </row>
    <row r="718" spans="6:6">
      <c r="F718" s="146"/>
    </row>
    <row r="719" spans="6:6">
      <c r="F719" s="146"/>
    </row>
    <row r="720" spans="6:6">
      <c r="F720" s="146"/>
    </row>
    <row r="721" spans="6:6">
      <c r="F721" s="146"/>
    </row>
    <row r="722" spans="6:6">
      <c r="F722" s="146"/>
    </row>
    <row r="723" spans="6:6">
      <c r="F723" s="146"/>
    </row>
    <row r="724" spans="6:6">
      <c r="F724" s="146"/>
    </row>
    <row r="725" spans="6:6">
      <c r="F725" s="146"/>
    </row>
    <row r="726" spans="6:6">
      <c r="F726" s="146"/>
    </row>
    <row r="727" spans="6:6">
      <c r="F727" s="146"/>
    </row>
    <row r="728" spans="6:6">
      <c r="F728" s="146"/>
    </row>
    <row r="729" spans="6:6">
      <c r="F729" s="146"/>
    </row>
    <row r="730" spans="6:6">
      <c r="F730" s="146"/>
    </row>
    <row r="731" spans="6:6">
      <c r="F731" s="146"/>
    </row>
    <row r="732" spans="6:6">
      <c r="F732" s="146"/>
    </row>
    <row r="733" spans="6:6">
      <c r="F733" s="146"/>
    </row>
    <row r="734" spans="6:6">
      <c r="F734" s="146"/>
    </row>
    <row r="735" spans="6:6">
      <c r="F735" s="146"/>
    </row>
    <row r="736" spans="6:6">
      <c r="F736" s="146"/>
    </row>
    <row r="737" spans="6:6">
      <c r="F737" s="146"/>
    </row>
    <row r="738" spans="6:6">
      <c r="F738" s="146"/>
    </row>
    <row r="739" spans="6:6">
      <c r="F739" s="146"/>
    </row>
    <row r="740" spans="6:6">
      <c r="F740" s="146"/>
    </row>
    <row r="741" spans="6:6">
      <c r="F741" s="146"/>
    </row>
    <row r="742" spans="6:6">
      <c r="F742" s="146"/>
    </row>
    <row r="743" spans="6:6">
      <c r="F743" s="146"/>
    </row>
    <row r="744" spans="6:6">
      <c r="F744" s="146"/>
    </row>
    <row r="745" spans="6:6">
      <c r="F745" s="146"/>
    </row>
    <row r="746" spans="6:6">
      <c r="F746" s="146"/>
    </row>
    <row r="747" spans="6:6">
      <c r="F747" s="146"/>
    </row>
    <row r="748" spans="6:6">
      <c r="F748" s="146"/>
    </row>
    <row r="749" spans="6:6">
      <c r="F749" s="146"/>
    </row>
    <row r="750" spans="6:6">
      <c r="F750" s="146"/>
    </row>
    <row r="751" spans="6:6">
      <c r="F751" s="146"/>
    </row>
    <row r="752" spans="6:6">
      <c r="F752" s="146"/>
    </row>
    <row r="753" spans="6:6">
      <c r="F753" s="146"/>
    </row>
    <row r="754" spans="6:6">
      <c r="F754" s="146"/>
    </row>
    <row r="755" spans="6:6">
      <c r="F755" s="146"/>
    </row>
    <row r="756" spans="6:6">
      <c r="F756" s="146"/>
    </row>
    <row r="757" spans="6:6">
      <c r="F757" s="146"/>
    </row>
    <row r="758" spans="6:6">
      <c r="F758" s="146"/>
    </row>
    <row r="759" spans="6:6">
      <c r="F759" s="146"/>
    </row>
    <row r="760" spans="6:6">
      <c r="F760" s="146"/>
    </row>
    <row r="761" spans="6:6">
      <c r="F761" s="146"/>
    </row>
    <row r="762" spans="6:6">
      <c r="F762" s="146"/>
    </row>
    <row r="763" spans="6:6">
      <c r="F763" s="146"/>
    </row>
    <row r="764" spans="6:6">
      <c r="F764" s="146"/>
    </row>
    <row r="765" spans="6:6">
      <c r="F765" s="146"/>
    </row>
    <row r="766" spans="6:6">
      <c r="F766" s="146"/>
    </row>
    <row r="767" spans="6:6">
      <c r="F767" s="146"/>
    </row>
    <row r="768" spans="6:6">
      <c r="F768" s="146"/>
    </row>
    <row r="769" spans="6:6">
      <c r="F769" s="146"/>
    </row>
    <row r="770" spans="6:6">
      <c r="F770" s="146"/>
    </row>
    <row r="771" spans="6:6">
      <c r="F771" s="146"/>
    </row>
    <row r="772" spans="6:6">
      <c r="F772" s="146"/>
    </row>
    <row r="773" spans="6:6">
      <c r="F773" s="146"/>
    </row>
    <row r="774" spans="6:6">
      <c r="F774" s="146"/>
    </row>
    <row r="775" spans="6:6">
      <c r="F775" s="146"/>
    </row>
    <row r="776" spans="6:6">
      <c r="F776" s="146"/>
    </row>
    <row r="777" spans="6:6">
      <c r="F777" s="146"/>
    </row>
    <row r="778" spans="6:6">
      <c r="F778" s="146"/>
    </row>
    <row r="779" spans="6:6">
      <c r="F779" s="146"/>
    </row>
    <row r="780" spans="6:6">
      <c r="F780" s="146"/>
    </row>
    <row r="781" spans="6:6">
      <c r="F781" s="146"/>
    </row>
    <row r="782" spans="6:6">
      <c r="F782" s="146"/>
    </row>
    <row r="783" spans="6:6">
      <c r="F783" s="146"/>
    </row>
    <row r="784" spans="6:6">
      <c r="F784" s="146"/>
    </row>
    <row r="785" spans="6:6">
      <c r="F785" s="146"/>
    </row>
    <row r="786" spans="6:6">
      <c r="F786" s="146"/>
    </row>
    <row r="787" spans="6:6">
      <c r="F787" s="146"/>
    </row>
    <row r="788" spans="6:6">
      <c r="F788" s="146"/>
    </row>
    <row r="789" spans="6:6">
      <c r="F789" s="146"/>
    </row>
    <row r="790" spans="6:6">
      <c r="F790" s="146"/>
    </row>
    <row r="791" spans="6:6">
      <c r="F791" s="146"/>
    </row>
    <row r="792" spans="6:6">
      <c r="F792" s="146"/>
    </row>
    <row r="793" spans="6:6">
      <c r="F793" s="146"/>
    </row>
    <row r="794" spans="6:6">
      <c r="F794" s="146"/>
    </row>
    <row r="795" spans="6:6">
      <c r="F795" s="146"/>
    </row>
    <row r="796" spans="6:6">
      <c r="F796" s="146"/>
    </row>
    <row r="797" spans="6:6">
      <c r="F797" s="146"/>
    </row>
    <row r="798" spans="6:6">
      <c r="F798" s="146"/>
    </row>
    <row r="799" spans="6:6">
      <c r="F799" s="146"/>
    </row>
    <row r="800" spans="6:6">
      <c r="F800" s="146"/>
    </row>
    <row r="801" spans="6:6">
      <c r="F801" s="146"/>
    </row>
    <row r="802" spans="6:6">
      <c r="F802" s="146"/>
    </row>
    <row r="803" spans="6:6">
      <c r="F803" s="146"/>
    </row>
    <row r="804" spans="6:6">
      <c r="F804" s="146"/>
    </row>
    <row r="805" spans="6:6">
      <c r="F805" s="146"/>
    </row>
    <row r="806" spans="6:6">
      <c r="F806" s="146"/>
    </row>
    <row r="807" spans="6:6">
      <c r="F807" s="146"/>
    </row>
    <row r="808" spans="6:6">
      <c r="F808" s="146"/>
    </row>
    <row r="809" spans="6:6">
      <c r="F809" s="146"/>
    </row>
    <row r="810" spans="6:6">
      <c r="F810" s="146"/>
    </row>
    <row r="811" spans="6:6">
      <c r="F811" s="146"/>
    </row>
    <row r="812" spans="6:6">
      <c r="F812" s="146"/>
    </row>
    <row r="813" spans="6:6">
      <c r="F813" s="146"/>
    </row>
    <row r="814" spans="6:6">
      <c r="F814" s="146"/>
    </row>
    <row r="815" spans="6:6">
      <c r="F815" s="146"/>
    </row>
    <row r="816" spans="6:6">
      <c r="F816" s="146"/>
    </row>
    <row r="817" spans="6:6">
      <c r="F817" s="146"/>
    </row>
  </sheetData>
  <sheetProtection password="AC08" sheet="1"/>
  <phoneticPr fontId="55" type="noConversion"/>
  <printOptions horizontalCentered="1"/>
  <pageMargins left="0.94488188976377963" right="0.19685039370078741" top="0.27559055118110237" bottom="0.98425196850393704" header="0.19685039370078741" footer="0.39370078740157483"/>
  <pageSetup scale="85" orientation="portrait" r:id="rId1"/>
  <headerFooter alignWithMargins="0">
    <oddFooter>&amp;C&amp;"Times New Roman,Negrita"&amp;14Pág. &amp;P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AF31-8BD8-42D8-9161-2A044C03D08D}">
  <sheetPr codeName="Hoja13">
    <pageSetUpPr fitToPage="1"/>
  </sheetPr>
  <dimension ref="A1:U271"/>
  <sheetViews>
    <sheetView zoomScaleNormal="100" workbookViewId="0">
      <pane xSplit="2" ySplit="7" topLeftCell="C8" activePane="bottomRight" state="frozen"/>
      <selection sqref="A1:IV1"/>
      <selection pane="topRight" sqref="A1:IV1"/>
      <selection pane="bottomLeft" sqref="A1:IV1"/>
      <selection pane="bottomRight" activeCell="C8" sqref="C8"/>
    </sheetView>
  </sheetViews>
  <sheetFormatPr defaultColWidth="10" defaultRowHeight="15.75"/>
  <cols>
    <col min="1" max="1" width="1.75" style="32" customWidth="1"/>
    <col min="2" max="2" width="25.875" style="32" customWidth="1"/>
    <col min="3" max="3" width="10.875" style="32" customWidth="1"/>
    <col min="4" max="4" width="11.125" style="32" customWidth="1"/>
    <col min="5" max="5" width="10.625" style="32" customWidth="1"/>
    <col min="6" max="6" width="10.375" style="32" customWidth="1"/>
    <col min="7" max="7" width="10.125" style="32" customWidth="1"/>
    <col min="8" max="8" width="8.125" style="32" customWidth="1"/>
    <col min="9" max="9" width="11.625" style="32" customWidth="1"/>
    <col min="10" max="10" width="10.875" style="32" customWidth="1"/>
    <col min="11" max="11" width="9.875" style="32" customWidth="1"/>
    <col min="12" max="12" width="9.25" style="32" hidden="1" customWidth="1"/>
    <col min="13" max="16384" width="10" style="32"/>
  </cols>
  <sheetData>
    <row r="1" spans="1:21" s="590" customFormat="1" ht="30.75" thickBot="1">
      <c r="A1" s="587" t="s">
        <v>32</v>
      </c>
      <c r="B1" s="588"/>
      <c r="C1" s="588"/>
      <c r="D1" s="588"/>
      <c r="E1" s="588"/>
      <c r="F1" s="588"/>
      <c r="G1" s="588"/>
      <c r="H1" s="588"/>
      <c r="I1" s="588"/>
      <c r="J1" s="588"/>
      <c r="K1" s="589" t="str">
        <f>'ESTADO APLICACION'!G1</f>
        <v>Presupuesto Ordinario 2013</v>
      </c>
      <c r="L1" s="1357" t="s">
        <v>621</v>
      </c>
    </row>
    <row r="2" spans="1:21" ht="32.25" customHeight="1">
      <c r="A2" s="454"/>
      <c r="B2" s="454"/>
      <c r="C2" s="848"/>
      <c r="D2" s="830"/>
      <c r="E2" s="455"/>
      <c r="F2" s="455"/>
      <c r="G2" s="455"/>
      <c r="H2" s="455"/>
      <c r="I2" s="455"/>
      <c r="J2" s="455"/>
      <c r="K2" s="455"/>
      <c r="L2" s="31"/>
      <c r="M2" s="31"/>
      <c r="N2" s="31"/>
      <c r="O2" s="31"/>
      <c r="P2" s="31"/>
      <c r="Q2" s="31"/>
      <c r="R2" s="31"/>
      <c r="S2" s="31"/>
      <c r="T2" s="31"/>
      <c r="U2" s="31"/>
    </row>
    <row r="3" spans="1:21" ht="32.25" customHeight="1">
      <c r="A3" s="1437" t="s">
        <v>543</v>
      </c>
      <c r="B3" s="1437"/>
      <c r="C3" s="1437"/>
      <c r="D3" s="1437"/>
      <c r="E3" s="1437"/>
      <c r="F3" s="1437"/>
      <c r="G3" s="1437"/>
      <c r="H3" s="1437"/>
      <c r="I3" s="1437"/>
      <c r="J3" s="1437"/>
      <c r="K3" s="1437"/>
      <c r="L3" s="31"/>
      <c r="M3" s="31"/>
      <c r="N3" s="31"/>
      <c r="O3" s="31"/>
      <c r="P3" s="31"/>
      <c r="Q3" s="31"/>
      <c r="R3" s="31"/>
      <c r="S3" s="31"/>
      <c r="T3" s="31"/>
      <c r="U3" s="31"/>
    </row>
    <row r="4" spans="1:21" ht="18.75">
      <c r="A4" s="1438" t="s">
        <v>113</v>
      </c>
      <c r="B4" s="1438"/>
      <c r="C4" s="1438"/>
      <c r="D4" s="1438"/>
      <c r="E4" s="1438"/>
      <c r="F4" s="1438"/>
      <c r="G4" s="1438"/>
      <c r="H4" s="1438"/>
      <c r="I4" s="1438"/>
      <c r="J4" s="1438"/>
      <c r="K4" s="1438"/>
      <c r="L4" s="31"/>
      <c r="M4" s="31"/>
      <c r="N4" s="31"/>
      <c r="O4" s="31"/>
      <c r="P4" s="31"/>
      <c r="Q4" s="31"/>
      <c r="R4" s="31"/>
      <c r="S4" s="31"/>
      <c r="T4" s="31"/>
      <c r="U4" s="31"/>
    </row>
    <row r="5" spans="1:21" ht="16.5" customHeight="1" thickBot="1">
      <c r="A5" s="33"/>
      <c r="B5" s="33"/>
      <c r="C5" s="30"/>
      <c r="D5" s="30"/>
      <c r="E5" s="30"/>
      <c r="F5" s="30"/>
      <c r="G5" s="30"/>
      <c r="H5" s="30"/>
      <c r="I5" s="30"/>
      <c r="J5" s="31"/>
      <c r="K5" s="31"/>
      <c r="L5" s="199"/>
      <c r="M5" s="31"/>
      <c r="N5" s="31"/>
      <c r="O5" s="31"/>
      <c r="P5" s="31"/>
      <c r="Q5" s="31"/>
      <c r="R5" s="31"/>
      <c r="S5" s="31"/>
      <c r="T5" s="31"/>
      <c r="U5" s="31"/>
    </row>
    <row r="6" spans="1:21" s="35" customFormat="1" ht="15.75" customHeight="1">
      <c r="A6" s="236"/>
      <c r="B6" s="237" t="s">
        <v>64</v>
      </c>
      <c r="C6" s="1428" t="s">
        <v>531</v>
      </c>
      <c r="D6" s="1428" t="s">
        <v>71</v>
      </c>
      <c r="E6" s="1428" t="s">
        <v>72</v>
      </c>
      <c r="F6" s="1428" t="s">
        <v>154</v>
      </c>
      <c r="G6" s="1428" t="s">
        <v>73</v>
      </c>
      <c r="H6" s="1428" t="s">
        <v>108</v>
      </c>
      <c r="I6" s="1428" t="s">
        <v>660</v>
      </c>
      <c r="J6" s="1428" t="s">
        <v>74</v>
      </c>
      <c r="K6" s="1428" t="s">
        <v>75</v>
      </c>
      <c r="L6" s="34"/>
      <c r="M6" s="34"/>
      <c r="N6" s="34"/>
      <c r="O6" s="34"/>
      <c r="P6" s="34"/>
      <c r="Q6" s="34"/>
      <c r="R6" s="34"/>
      <c r="S6" s="34"/>
      <c r="T6" s="34"/>
      <c r="U6" s="34"/>
    </row>
    <row r="7" spans="1:21" s="35" customFormat="1" ht="27.75" customHeight="1" thickBot="1">
      <c r="A7" s="238"/>
      <c r="B7" s="239" t="s">
        <v>76</v>
      </c>
      <c r="C7" s="1429"/>
      <c r="D7" s="1429"/>
      <c r="E7" s="1429"/>
      <c r="F7" s="1429"/>
      <c r="G7" s="1429"/>
      <c r="H7" s="1429"/>
      <c r="I7" s="1429"/>
      <c r="J7" s="1429"/>
      <c r="K7" s="1429" t="s">
        <v>75</v>
      </c>
      <c r="L7" s="34"/>
      <c r="M7" s="34"/>
      <c r="N7" s="34"/>
      <c r="O7" s="34"/>
      <c r="P7" s="34"/>
      <c r="Q7" s="34"/>
      <c r="R7" s="34"/>
      <c r="S7" s="34"/>
      <c r="T7" s="34"/>
      <c r="U7" s="34"/>
    </row>
    <row r="8" spans="1:21" ht="23.25" customHeight="1">
      <c r="A8" s="621" t="s">
        <v>77</v>
      </c>
      <c r="B8" s="622" t="s">
        <v>78</v>
      </c>
      <c r="C8" s="617">
        <f>[12]ESTIMACION!$E$99</f>
        <v>118500000</v>
      </c>
      <c r="D8" s="618">
        <f>[12]ESTIMACION!$E$98</f>
        <v>753000000</v>
      </c>
      <c r="E8" s="617"/>
      <c r="F8" s="617"/>
      <c r="G8" s="617"/>
      <c r="H8" s="617"/>
      <c r="I8" s="617">
        <f>[12]ESTIMACION!$E$100</f>
        <v>0</v>
      </c>
      <c r="J8" s="617"/>
      <c r="K8" s="617"/>
      <c r="L8" s="31"/>
      <c r="M8" s="31"/>
      <c r="N8" s="31"/>
      <c r="O8" s="31"/>
      <c r="P8" s="31"/>
      <c r="Q8" s="31"/>
      <c r="R8" s="31"/>
      <c r="S8" s="31"/>
      <c r="T8" s="31"/>
      <c r="U8" s="31"/>
    </row>
    <row r="9" spans="1:21" ht="15.75" customHeight="1">
      <c r="A9" s="1425"/>
      <c r="B9" s="1435" t="s">
        <v>1246</v>
      </c>
      <c r="C9" s="850">
        <f>'[1]GASTOS SANID.'!$C$2</f>
        <v>0.4249</v>
      </c>
      <c r="D9" s="851">
        <f>'[1]GASTOS SANID.'!$D$2</f>
        <v>0.59450000000000003</v>
      </c>
      <c r="E9" s="617"/>
      <c r="F9" s="617"/>
      <c r="G9" s="617"/>
      <c r="H9" s="617"/>
      <c r="I9" s="617"/>
      <c r="J9" s="617"/>
      <c r="K9" s="617"/>
      <c r="L9" s="31"/>
      <c r="M9" s="31"/>
      <c r="N9" s="31"/>
      <c r="O9" s="31"/>
      <c r="P9" s="31"/>
      <c r="Q9" s="31"/>
      <c r="R9" s="31"/>
      <c r="S9" s="31"/>
      <c r="T9" s="31"/>
      <c r="U9" s="31"/>
    </row>
    <row r="10" spans="1:21" ht="15.75" customHeight="1">
      <c r="A10" s="1426"/>
      <c r="B10" s="1436"/>
      <c r="C10" s="617">
        <f>C8*C9</f>
        <v>50350650</v>
      </c>
      <c r="D10" s="617">
        <f>D8*D9</f>
        <v>447658500</v>
      </c>
      <c r="E10" s="617"/>
      <c r="F10" s="617"/>
      <c r="G10" s="617"/>
      <c r="H10" s="617"/>
      <c r="I10" s="617">
        <f>C10+D10</f>
        <v>498009150</v>
      </c>
      <c r="J10" s="617"/>
      <c r="K10" s="617"/>
      <c r="L10" s="31"/>
      <c r="M10" s="31"/>
      <c r="N10" s="31"/>
      <c r="O10" s="31"/>
      <c r="P10" s="31"/>
      <c r="Q10" s="31"/>
      <c r="R10" s="31"/>
      <c r="S10" s="31"/>
      <c r="T10" s="31"/>
      <c r="U10" s="31"/>
    </row>
    <row r="11" spans="1:21" ht="23.25" customHeight="1">
      <c r="A11" s="621"/>
      <c r="B11" s="622" t="s">
        <v>1245</v>
      </c>
      <c r="C11" s="617">
        <f>C8-C10</f>
        <v>68149350</v>
      </c>
      <c r="D11" s="617">
        <f>D8-D10</f>
        <v>305341500</v>
      </c>
      <c r="E11" s="617">
        <f>[12]ESTIMACION!$F$92</f>
        <v>69675000</v>
      </c>
      <c r="F11" s="617">
        <v>0</v>
      </c>
      <c r="G11" s="617">
        <f>[12]ESTIMACION!$E$83</f>
        <v>56500000</v>
      </c>
      <c r="H11" s="617">
        <f>[12]ESTIMACION!$E$103+[12]ESTIMACION!$E$122</f>
        <v>0</v>
      </c>
      <c r="I11" s="617">
        <f>I8+I10</f>
        <v>498009150</v>
      </c>
      <c r="J11" s="617">
        <f>[12]ESTIMACION!$E$130+[12]ESTIMACION!$E$179</f>
        <v>117500000</v>
      </c>
      <c r="K11" s="617">
        <f>[12]ESTIMACION!$E$129+[12]ESTIMACION!$E$84</f>
        <v>59000000</v>
      </c>
      <c r="L11" s="31"/>
      <c r="M11" s="31"/>
      <c r="N11" s="31"/>
      <c r="O11" s="31"/>
      <c r="P11" s="31"/>
      <c r="Q11" s="31"/>
      <c r="R11" s="31"/>
      <c r="S11" s="31"/>
      <c r="T11" s="31"/>
      <c r="U11" s="31"/>
    </row>
    <row r="12" spans="1:21" ht="30">
      <c r="A12" s="623" t="s">
        <v>79</v>
      </c>
      <c r="B12" s="624" t="s">
        <v>80</v>
      </c>
      <c r="C12" s="614">
        <f t="shared" ref="C12:K12" si="0">C35</f>
        <v>75937090</v>
      </c>
      <c r="D12" s="614">
        <f t="shared" si="0"/>
        <v>288551500</v>
      </c>
      <c r="E12" s="614">
        <f t="shared" si="0"/>
        <v>65295183</v>
      </c>
      <c r="F12" s="614">
        <f>F35</f>
        <v>11236078</v>
      </c>
      <c r="G12" s="614">
        <f t="shared" si="0"/>
        <v>71782666</v>
      </c>
      <c r="H12" s="614">
        <f>H35</f>
        <v>0</v>
      </c>
      <c r="I12" s="614">
        <f>I35</f>
        <v>471614106.39999998</v>
      </c>
      <c r="J12" s="614">
        <f t="shared" si="0"/>
        <v>78192477</v>
      </c>
      <c r="K12" s="614">
        <f t="shared" si="0"/>
        <v>59777738</v>
      </c>
      <c r="L12" s="31"/>
      <c r="M12" s="31"/>
      <c r="N12" s="31"/>
      <c r="O12" s="31"/>
      <c r="P12" s="31"/>
      <c r="Q12" s="31"/>
      <c r="R12" s="31"/>
      <c r="S12" s="31"/>
      <c r="T12" s="31"/>
      <c r="U12" s="31"/>
    </row>
    <row r="13" spans="1:21" ht="30">
      <c r="A13" s="623" t="s">
        <v>81</v>
      </c>
      <c r="B13" s="624" t="s">
        <v>82</v>
      </c>
      <c r="C13" s="614">
        <f t="shared" ref="C13:K13" si="1">C11-C12</f>
        <v>-7787740</v>
      </c>
      <c r="D13" s="614">
        <f t="shared" si="1"/>
        <v>16790000</v>
      </c>
      <c r="E13" s="614">
        <f t="shared" si="1"/>
        <v>4379817</v>
      </c>
      <c r="F13" s="614">
        <f t="shared" si="1"/>
        <v>-11236078</v>
      </c>
      <c r="G13" s="614">
        <f t="shared" si="1"/>
        <v>-15282666</v>
      </c>
      <c r="H13" s="614">
        <f t="shared" si="1"/>
        <v>0</v>
      </c>
      <c r="I13" s="614">
        <f t="shared" si="1"/>
        <v>26395043.600000024</v>
      </c>
      <c r="J13" s="614">
        <f t="shared" si="1"/>
        <v>39307523</v>
      </c>
      <c r="K13" s="614">
        <f t="shared" si="1"/>
        <v>-777738</v>
      </c>
      <c r="L13" s="31"/>
      <c r="M13" s="31"/>
      <c r="N13" s="31"/>
      <c r="O13" s="31"/>
      <c r="P13" s="31"/>
      <c r="Q13" s="31"/>
      <c r="R13" s="31"/>
      <c r="S13" s="31"/>
      <c r="T13" s="31"/>
      <c r="U13" s="31"/>
    </row>
    <row r="14" spans="1:21" ht="30">
      <c r="A14" s="625" t="s">
        <v>37</v>
      </c>
      <c r="B14" s="626" t="s">
        <v>83</v>
      </c>
      <c r="C14" s="431"/>
      <c r="D14" s="431"/>
      <c r="E14" s="431"/>
      <c r="F14" s="431"/>
      <c r="G14" s="431"/>
      <c r="H14" s="431"/>
      <c r="I14" s="431">
        <v>900900000</v>
      </c>
      <c r="J14" s="431"/>
      <c r="K14" s="431"/>
      <c r="L14" s="31"/>
      <c r="M14" s="31"/>
      <c r="N14" s="31"/>
      <c r="O14" s="31"/>
      <c r="P14" s="31"/>
      <c r="Q14" s="31"/>
      <c r="R14" s="31"/>
      <c r="S14" s="31"/>
      <c r="T14" s="31"/>
      <c r="U14" s="31"/>
    </row>
    <row r="15" spans="1:21" ht="30">
      <c r="A15" s="623" t="s">
        <v>38</v>
      </c>
      <c r="B15" s="624" t="s">
        <v>84</v>
      </c>
      <c r="C15" s="614">
        <f t="shared" ref="C15:K15" si="2">C13+C14</f>
        <v>-7787740</v>
      </c>
      <c r="D15" s="614">
        <f t="shared" si="2"/>
        <v>16790000</v>
      </c>
      <c r="E15" s="614">
        <f t="shared" si="2"/>
        <v>4379817</v>
      </c>
      <c r="F15" s="614">
        <f t="shared" si="2"/>
        <v>-11236078</v>
      </c>
      <c r="G15" s="614">
        <f t="shared" si="2"/>
        <v>-15282666</v>
      </c>
      <c r="H15" s="614">
        <f t="shared" si="2"/>
        <v>0</v>
      </c>
      <c r="I15" s="614">
        <f t="shared" si="2"/>
        <v>927295043.60000002</v>
      </c>
      <c r="J15" s="614">
        <f t="shared" si="2"/>
        <v>39307523</v>
      </c>
      <c r="K15" s="614">
        <f t="shared" si="2"/>
        <v>-777738</v>
      </c>
      <c r="L15" s="37"/>
      <c r="M15" s="37"/>
      <c r="N15" s="37"/>
      <c r="O15" s="37"/>
      <c r="P15" s="37"/>
      <c r="Q15" s="37"/>
      <c r="R15" s="31"/>
      <c r="S15" s="31"/>
      <c r="T15" s="31"/>
      <c r="U15" s="31"/>
    </row>
    <row r="16" spans="1:21" ht="30.75" thickBot="1">
      <c r="A16" s="627" t="s">
        <v>85</v>
      </c>
      <c r="B16" s="628" t="s">
        <v>532</v>
      </c>
      <c r="C16" s="615">
        <f t="shared" ref="C16:K16" si="3">SUM(C17:C19)</f>
        <v>0</v>
      </c>
      <c r="D16" s="615">
        <f t="shared" si="3"/>
        <v>16790000</v>
      </c>
      <c r="E16" s="615">
        <f t="shared" si="3"/>
        <v>4379817</v>
      </c>
      <c r="F16" s="615">
        <f>SUM(F17:F19)</f>
        <v>0</v>
      </c>
      <c r="G16" s="615">
        <f t="shared" si="3"/>
        <v>0</v>
      </c>
      <c r="H16" s="615">
        <f>SUM(H17:H19)</f>
        <v>0</v>
      </c>
      <c r="I16" s="615">
        <f>SUM(I17:I19)</f>
        <v>998174000</v>
      </c>
      <c r="J16" s="615">
        <f t="shared" si="3"/>
        <v>0</v>
      </c>
      <c r="K16" s="615">
        <f t="shared" si="3"/>
        <v>0</v>
      </c>
      <c r="L16" s="31"/>
      <c r="M16" s="31"/>
      <c r="N16" s="31"/>
      <c r="O16" s="31"/>
      <c r="P16" s="31"/>
      <c r="Q16" s="31"/>
      <c r="R16" s="31"/>
      <c r="S16" s="31"/>
      <c r="T16" s="31"/>
      <c r="U16" s="31"/>
    </row>
    <row r="17" spans="1:21" ht="16.5" thickTop="1">
      <c r="A17" s="629"/>
      <c r="B17" s="1284" t="s">
        <v>533</v>
      </c>
      <c r="C17" s="619">
        <f>C32</f>
        <v>0</v>
      </c>
      <c r="D17" s="619">
        <f t="shared" ref="D17:K17" si="4">D32</f>
        <v>16790000</v>
      </c>
      <c r="E17" s="619">
        <f t="shared" si="4"/>
        <v>0</v>
      </c>
      <c r="F17" s="619">
        <f>F32</f>
        <v>0</v>
      </c>
      <c r="G17" s="619">
        <f t="shared" si="4"/>
        <v>0</v>
      </c>
      <c r="H17" s="619">
        <f t="shared" si="4"/>
        <v>0</v>
      </c>
      <c r="I17" s="619">
        <f>I32</f>
        <v>47274000</v>
      </c>
      <c r="J17" s="619">
        <f t="shared" si="4"/>
        <v>0</v>
      </c>
      <c r="K17" s="619">
        <f t="shared" si="4"/>
        <v>0</v>
      </c>
      <c r="L17" s="31"/>
      <c r="M17" s="31"/>
      <c r="N17" s="31"/>
      <c r="O17" s="31"/>
      <c r="P17" s="31"/>
      <c r="Q17" s="31"/>
      <c r="R17" s="31"/>
      <c r="S17" s="31"/>
      <c r="T17" s="31"/>
      <c r="U17" s="31"/>
    </row>
    <row r="18" spans="1:21">
      <c r="A18" s="629"/>
      <c r="B18" s="1284" t="s">
        <v>534</v>
      </c>
      <c r="C18" s="619">
        <f>C31</f>
        <v>0</v>
      </c>
      <c r="D18" s="619">
        <f t="shared" ref="D18:K18" si="5">D31</f>
        <v>0</v>
      </c>
      <c r="E18" s="619">
        <f t="shared" si="5"/>
        <v>4379817</v>
      </c>
      <c r="F18" s="619">
        <f>F31</f>
        <v>0</v>
      </c>
      <c r="G18" s="619">
        <f t="shared" si="5"/>
        <v>0</v>
      </c>
      <c r="H18" s="619">
        <f t="shared" si="5"/>
        <v>0</v>
      </c>
      <c r="I18" s="619">
        <f>I31</f>
        <v>0</v>
      </c>
      <c r="J18" s="619">
        <f t="shared" si="5"/>
        <v>0</v>
      </c>
      <c r="K18" s="619">
        <f t="shared" si="5"/>
        <v>0</v>
      </c>
      <c r="L18" s="31"/>
      <c r="M18" s="31"/>
      <c r="N18" s="31"/>
      <c r="O18" s="31"/>
      <c r="P18" s="31"/>
      <c r="Q18" s="31"/>
      <c r="R18" s="31"/>
      <c r="S18" s="31"/>
      <c r="T18" s="31"/>
      <c r="U18" s="31"/>
    </row>
    <row r="19" spans="1:21" ht="15.75" customHeight="1">
      <c r="A19" s="630"/>
      <c r="B19" s="631" t="s">
        <v>86</v>
      </c>
      <c r="C19" s="36"/>
      <c r="D19" s="36"/>
      <c r="E19" s="36"/>
      <c r="F19" s="36"/>
      <c r="G19" s="36"/>
      <c r="H19" s="36"/>
      <c r="I19" s="36">
        <f>50000000+900900000</f>
        <v>950900000</v>
      </c>
      <c r="J19" s="36"/>
      <c r="K19" s="36"/>
      <c r="L19" s="31"/>
      <c r="M19" s="31"/>
      <c r="N19" s="31"/>
      <c r="O19" s="31"/>
      <c r="P19" s="31"/>
      <c r="Q19" s="31"/>
      <c r="R19" s="31"/>
      <c r="S19" s="31"/>
      <c r="T19" s="31"/>
      <c r="U19" s="31"/>
    </row>
    <row r="20" spans="1:21" ht="20.25" customHeight="1" thickBot="1">
      <c r="A20" s="632" t="s">
        <v>39</v>
      </c>
      <c r="B20" s="633" t="s">
        <v>87</v>
      </c>
      <c r="C20" s="620">
        <f t="shared" ref="C20:K20" si="6">SUM(C12+C16)</f>
        <v>75937090</v>
      </c>
      <c r="D20" s="620">
        <f t="shared" si="6"/>
        <v>305341500</v>
      </c>
      <c r="E20" s="620">
        <f t="shared" si="6"/>
        <v>69675000</v>
      </c>
      <c r="F20" s="620">
        <f>SUM(F12+F16)</f>
        <v>11236078</v>
      </c>
      <c r="G20" s="620">
        <f t="shared" si="6"/>
        <v>71782666</v>
      </c>
      <c r="H20" s="620">
        <f>SUM(H12+H16)</f>
        <v>0</v>
      </c>
      <c r="I20" s="620">
        <f>SUM(I12+I16)</f>
        <v>1469788106.4000001</v>
      </c>
      <c r="J20" s="620">
        <f t="shared" si="6"/>
        <v>78192477</v>
      </c>
      <c r="K20" s="620">
        <f t="shared" si="6"/>
        <v>59777738</v>
      </c>
      <c r="L20" s="37"/>
      <c r="M20" s="37"/>
      <c r="N20" s="37"/>
      <c r="O20" s="37"/>
      <c r="P20" s="37"/>
      <c r="Q20" s="37"/>
      <c r="R20" s="31"/>
      <c r="S20" s="31"/>
      <c r="T20" s="31"/>
      <c r="U20" s="31"/>
    </row>
    <row r="21" spans="1:21" s="83" customFormat="1" ht="29.25" thickTop="1">
      <c r="A21" s="634" t="s">
        <v>88</v>
      </c>
      <c r="B21" s="635" t="s">
        <v>89</v>
      </c>
      <c r="C21" s="314">
        <f t="shared" ref="C21:K21" si="7">C15-C16</f>
        <v>-7787740</v>
      </c>
      <c r="D21" s="314">
        <f t="shared" si="7"/>
        <v>0</v>
      </c>
      <c r="E21" s="314">
        <f t="shared" si="7"/>
        <v>0</v>
      </c>
      <c r="F21" s="314">
        <f>F15-F16</f>
        <v>-11236078</v>
      </c>
      <c r="G21" s="314">
        <f t="shared" si="7"/>
        <v>-15282666</v>
      </c>
      <c r="H21" s="314">
        <f>H15-H16</f>
        <v>0</v>
      </c>
      <c r="I21" s="314">
        <f>I15-I16</f>
        <v>-70878956.399999976</v>
      </c>
      <c r="J21" s="314">
        <f t="shared" si="7"/>
        <v>39307523</v>
      </c>
      <c r="K21" s="314">
        <f t="shared" si="7"/>
        <v>-777738</v>
      </c>
      <c r="L21" s="82"/>
      <c r="M21" s="82"/>
      <c r="N21" s="82"/>
      <c r="O21" s="82"/>
      <c r="P21" s="82"/>
      <c r="Q21" s="82"/>
      <c r="R21" s="82"/>
      <c r="S21" s="82"/>
      <c r="T21" s="82"/>
      <c r="U21" s="82"/>
    </row>
    <row r="22" spans="1:21" ht="30">
      <c r="A22" s="630" t="s">
        <v>90</v>
      </c>
      <c r="B22" s="631" t="s">
        <v>91</v>
      </c>
      <c r="C22" s="38">
        <f>SUM(C8+C14)/(C20)*100</f>
        <v>156.05022525882939</v>
      </c>
      <c r="D22" s="85">
        <f>SUM(D8+D14)/(D20)*100</f>
        <v>246.6091245376079</v>
      </c>
      <c r="E22" s="38">
        <f t="shared" ref="E22:K22" si="8">SUM(E11+E14)/(E20)*100</f>
        <v>100</v>
      </c>
      <c r="F22" s="38">
        <f>SUM(F11+F14)/(F20)*100</f>
        <v>0</v>
      </c>
      <c r="G22" s="38">
        <f t="shared" si="8"/>
        <v>78.709809970000279</v>
      </c>
      <c r="H22" s="38" t="e">
        <f>SUM(H11+H14)/(H20)*100</f>
        <v>#DIV/0!</v>
      </c>
      <c r="I22" s="38">
        <f>SUM(I8+I14)/(I20)*100</f>
        <v>61.294549607331071</v>
      </c>
      <c r="J22" s="38">
        <f t="shared" si="8"/>
        <v>150.27021077743834</v>
      </c>
      <c r="K22" s="38">
        <f t="shared" si="8"/>
        <v>98.69895043536107</v>
      </c>
      <c r="L22" s="31"/>
      <c r="M22" s="31"/>
      <c r="N22" s="31"/>
      <c r="O22" s="31"/>
      <c r="P22" s="31"/>
      <c r="Q22" s="31"/>
      <c r="R22" s="31"/>
      <c r="S22" s="31"/>
      <c r="T22" s="31"/>
      <c r="U22" s="31"/>
    </row>
    <row r="23" spans="1:21">
      <c r="A23" s="636"/>
      <c r="B23" s="636"/>
      <c r="C23" s="809" t="s">
        <v>1205</v>
      </c>
      <c r="D23" s="809" t="s">
        <v>1205</v>
      </c>
      <c r="E23" s="637"/>
      <c r="F23" s="637"/>
      <c r="G23" s="637"/>
      <c r="H23" s="637"/>
      <c r="I23" s="809"/>
      <c r="J23" s="637"/>
      <c r="K23" s="637"/>
      <c r="L23" s="31"/>
      <c r="M23" s="31"/>
      <c r="N23" s="31"/>
      <c r="O23" s="31"/>
      <c r="P23" s="31"/>
      <c r="Q23" s="31"/>
      <c r="R23" s="31"/>
      <c r="S23" s="31"/>
      <c r="T23" s="31"/>
      <c r="U23" s="31"/>
    </row>
    <row r="24" spans="1:21">
      <c r="A24" s="636"/>
      <c r="B24" s="636"/>
      <c r="C24" s="1280"/>
      <c r="D24" s="1280"/>
      <c r="E24" s="1281"/>
      <c r="F24" s="1281"/>
      <c r="G24" s="1281"/>
      <c r="H24" s="1281"/>
      <c r="I24" s="1280"/>
      <c r="J24" s="1281"/>
      <c r="K24" s="1281"/>
      <c r="L24" s="31"/>
      <c r="M24" s="31"/>
      <c r="N24" s="31"/>
      <c r="O24" s="31"/>
      <c r="P24" s="31"/>
      <c r="Q24" s="31"/>
      <c r="R24" s="31"/>
      <c r="S24" s="31"/>
      <c r="T24" s="31"/>
      <c r="U24" s="31"/>
    </row>
    <row r="25" spans="1:21">
      <c r="A25" s="638"/>
      <c r="B25" s="638"/>
      <c r="C25" s="639"/>
      <c r="D25" s="639"/>
      <c r="E25" s="639"/>
      <c r="F25" s="639"/>
      <c r="G25" s="639"/>
      <c r="H25" s="639"/>
      <c r="I25" s="639"/>
      <c r="J25" s="639"/>
      <c r="K25" s="639"/>
      <c r="L25" s="31"/>
      <c r="M25" s="31"/>
      <c r="N25" s="31"/>
      <c r="O25" s="31"/>
      <c r="P25" s="31"/>
      <c r="Q25" s="31"/>
      <c r="R25" s="31"/>
      <c r="S25" s="31"/>
      <c r="T25" s="31"/>
      <c r="U25" s="31"/>
    </row>
    <row r="26" spans="1:21" ht="16.5" customHeight="1" thickBot="1">
      <c r="A26" s="1430" t="s">
        <v>92</v>
      </c>
      <c r="B26" s="1430"/>
      <c r="C26" s="1430"/>
      <c r="D26" s="1430"/>
      <c r="E26" s="1430"/>
      <c r="F26" s="1430"/>
      <c r="G26" s="1430"/>
      <c r="H26" s="1430"/>
      <c r="I26" s="1430"/>
      <c r="J26" s="1430"/>
      <c r="K26" s="1430"/>
      <c r="L26" s="31"/>
      <c r="M26" s="31"/>
      <c r="N26" s="31"/>
      <c r="O26" s="31"/>
      <c r="P26" s="31"/>
      <c r="Q26" s="31"/>
      <c r="R26" s="31"/>
      <c r="S26" s="31"/>
      <c r="T26" s="31"/>
      <c r="U26" s="31"/>
    </row>
    <row r="27" spans="1:21" s="41" customFormat="1" ht="15.75" customHeight="1">
      <c r="A27" s="640"/>
      <c r="B27" s="641" t="s">
        <v>64</v>
      </c>
      <c r="C27" s="1428" t="str">
        <f>C6</f>
        <v>Aseo de Vías y sitios públicos</v>
      </c>
      <c r="D27" s="1428" t="str">
        <f t="shared" ref="D27:K27" si="9">D6</f>
        <v>Recolección de basura</v>
      </c>
      <c r="E27" s="1428" t="str">
        <f t="shared" si="9"/>
        <v>Cementerio</v>
      </c>
      <c r="F27" s="1428" t="str">
        <f>F6</f>
        <v>Parques</v>
      </c>
      <c r="G27" s="1428" t="str">
        <f t="shared" si="9"/>
        <v>Mercado</v>
      </c>
      <c r="H27" s="1428" t="str">
        <f t="shared" si="9"/>
        <v>Matadero</v>
      </c>
      <c r="I27" s="1428" t="str">
        <f t="shared" si="9"/>
        <v>Dep. y Tratamien. Basura</v>
      </c>
      <c r="J27" s="1428" t="str">
        <f t="shared" si="9"/>
        <v>Estacionó metros</v>
      </c>
      <c r="K27" s="1428" t="str">
        <f t="shared" si="9"/>
        <v>Terminal</v>
      </c>
      <c r="L27" s="40"/>
      <c r="M27" s="40"/>
      <c r="N27" s="40"/>
      <c r="O27" s="40"/>
      <c r="P27" s="40"/>
      <c r="Q27" s="40"/>
      <c r="R27" s="40"/>
      <c r="S27" s="40"/>
      <c r="T27" s="40"/>
      <c r="U27" s="40"/>
    </row>
    <row r="28" spans="1:21" ht="26.25" customHeight="1" thickBot="1">
      <c r="A28" s="642"/>
      <c r="B28" s="643" t="s">
        <v>76</v>
      </c>
      <c r="C28" s="1429"/>
      <c r="D28" s="1429"/>
      <c r="E28" s="1429"/>
      <c r="F28" s="1429"/>
      <c r="G28" s="1429"/>
      <c r="H28" s="1429"/>
      <c r="I28" s="1429"/>
      <c r="J28" s="1429"/>
      <c r="K28" s="1429"/>
      <c r="L28" s="31"/>
      <c r="M28" s="31"/>
      <c r="N28" s="31"/>
      <c r="O28" s="31"/>
      <c r="P28" s="31"/>
      <c r="Q28" s="31"/>
      <c r="R28" s="31"/>
      <c r="S28" s="31"/>
      <c r="T28" s="31"/>
      <c r="U28" s="31"/>
    </row>
    <row r="29" spans="1:21" ht="24.75" customHeight="1">
      <c r="A29" s="644" t="s">
        <v>77</v>
      </c>
      <c r="B29" s="645" t="s">
        <v>535</v>
      </c>
      <c r="C29" s="613">
        <f>[1]GASTOS!$U$339</f>
        <v>69122155</v>
      </c>
      <c r="D29" s="613">
        <f>[1]GASTOS!$V$339</f>
        <v>274807350</v>
      </c>
      <c r="E29" s="613">
        <f>[1]GASTOS!$X$339</f>
        <v>62707500</v>
      </c>
      <c r="F29" s="613">
        <f>[1]GASTOS!$Y$339</f>
        <v>11236078</v>
      </c>
      <c r="G29" s="613">
        <f>[1]GASTOS!$Z$339</f>
        <v>66132666</v>
      </c>
      <c r="H29" s="613">
        <f>[1]GASTOS!$AB$339</f>
        <v>0</v>
      </c>
      <c r="I29" s="613">
        <f>[1]GASTOS!$AS$339</f>
        <v>469087191.39999998</v>
      </c>
      <c r="J29" s="613">
        <f>[1]GASTOS!$AQ$339</f>
        <v>66442477</v>
      </c>
      <c r="K29" s="613">
        <f>[1]GASTOS!$AR$339</f>
        <v>53877738</v>
      </c>
      <c r="L29" s="31"/>
      <c r="M29" s="31"/>
      <c r="N29" s="31"/>
      <c r="O29" s="31"/>
      <c r="P29" s="31"/>
      <c r="Q29" s="31"/>
      <c r="R29" s="31"/>
      <c r="S29" s="31"/>
      <c r="T29" s="31"/>
      <c r="U29" s="31"/>
    </row>
    <row r="30" spans="1:21" ht="30.75" customHeight="1">
      <c r="A30" s="621" t="s">
        <v>79</v>
      </c>
      <c r="B30" s="622" t="s">
        <v>1562</v>
      </c>
      <c r="C30" s="1283">
        <f>SUM(C31:C32)</f>
        <v>0</v>
      </c>
      <c r="D30" s="1283">
        <f t="shared" ref="D30:K30" si="10">SUM(D31:D32)</f>
        <v>16790000</v>
      </c>
      <c r="E30" s="1283">
        <f t="shared" si="10"/>
        <v>4379817</v>
      </c>
      <c r="F30" s="1283">
        <f t="shared" si="10"/>
        <v>0</v>
      </c>
      <c r="G30" s="1283">
        <f t="shared" si="10"/>
        <v>0</v>
      </c>
      <c r="H30" s="1283">
        <f t="shared" si="10"/>
        <v>0</v>
      </c>
      <c r="I30" s="1283">
        <f t="shared" si="10"/>
        <v>47274000</v>
      </c>
      <c r="J30" s="1283">
        <f t="shared" si="10"/>
        <v>0</v>
      </c>
      <c r="K30" s="1283">
        <f t="shared" si="10"/>
        <v>0</v>
      </c>
      <c r="L30" s="31"/>
      <c r="M30" s="31"/>
      <c r="N30" s="31"/>
      <c r="O30" s="31"/>
      <c r="P30" s="31"/>
      <c r="Q30" s="31"/>
      <c r="R30" s="31"/>
      <c r="S30" s="31"/>
      <c r="T30" s="31"/>
      <c r="U30" s="31"/>
    </row>
    <row r="31" spans="1:21">
      <c r="A31" s="623"/>
      <c r="B31" s="1282" t="s">
        <v>1563</v>
      </c>
      <c r="C31" s="614">
        <f>[1]GASTOS!$U$190</f>
        <v>0</v>
      </c>
      <c r="D31" s="614">
        <f>[1]GASTOS!$V$190</f>
        <v>0</v>
      </c>
      <c r="E31" s="614">
        <f>[1]GASTOS!$X$190</f>
        <v>4379817</v>
      </c>
      <c r="F31" s="614">
        <f>[1]GASTOS!$Y$190</f>
        <v>0</v>
      </c>
      <c r="G31" s="614">
        <f>[1]GASTOS!$Z$190</f>
        <v>0</v>
      </c>
      <c r="H31" s="614">
        <f>[1]GASTOS!$AB$190</f>
        <v>0</v>
      </c>
      <c r="I31" s="614">
        <f>[1]GASTOS!$AS$190</f>
        <v>0</v>
      </c>
      <c r="J31" s="614">
        <f>[1]GASTOS!$AQ$190</f>
        <v>0</v>
      </c>
      <c r="K31" s="614">
        <f>[1]GASTOS!$AR$190</f>
        <v>0</v>
      </c>
      <c r="L31" s="31"/>
      <c r="M31" s="31"/>
      <c r="N31" s="31"/>
      <c r="O31" s="31"/>
      <c r="P31" s="31"/>
      <c r="Q31" s="31"/>
      <c r="R31" s="31"/>
      <c r="S31" s="31"/>
      <c r="T31" s="31"/>
      <c r="U31" s="31"/>
    </row>
    <row r="32" spans="1:21">
      <c r="A32" s="623"/>
      <c r="B32" s="1282" t="s">
        <v>1564</v>
      </c>
      <c r="C32" s="614">
        <f>[1]GASTOS!$U$284</f>
        <v>0</v>
      </c>
      <c r="D32" s="614">
        <f>[1]GASTOS!$V$284</f>
        <v>16790000</v>
      </c>
      <c r="E32" s="614">
        <f>[1]GASTOS!$X$284</f>
        <v>0</v>
      </c>
      <c r="F32" s="614">
        <f>[1]GASTOS!$Y$284</f>
        <v>0</v>
      </c>
      <c r="G32" s="614">
        <f>[1]GASTOS!$Z$284</f>
        <v>0</v>
      </c>
      <c r="H32" s="614">
        <f>[1]GASTOS!$AB$284</f>
        <v>0</v>
      </c>
      <c r="I32" s="614">
        <f>[1]GASTOS!$AS$284</f>
        <v>47274000</v>
      </c>
      <c r="J32" s="614">
        <f>[1]GASTOS!$AQ$284</f>
        <v>0</v>
      </c>
      <c r="K32" s="614">
        <f>[1]GASTOS!$AR$284</f>
        <v>0</v>
      </c>
      <c r="L32" s="31"/>
      <c r="M32" s="31"/>
      <c r="N32" s="31"/>
      <c r="O32" s="31"/>
      <c r="P32" s="31"/>
      <c r="Q32" s="31"/>
      <c r="R32" s="31"/>
      <c r="S32" s="31"/>
      <c r="T32" s="31"/>
      <c r="U32" s="31"/>
    </row>
    <row r="33" spans="1:21" ht="16.5" thickBot="1">
      <c r="A33" s="646" t="s">
        <v>37</v>
      </c>
      <c r="B33" s="647" t="s">
        <v>93</v>
      </c>
      <c r="C33" s="615">
        <f>C29-C30</f>
        <v>69122155</v>
      </c>
      <c r="D33" s="615">
        <f t="shared" ref="D33:K33" si="11">D29-D30</f>
        <v>258017350</v>
      </c>
      <c r="E33" s="615">
        <f t="shared" si="11"/>
        <v>58327683</v>
      </c>
      <c r="F33" s="615">
        <f t="shared" si="11"/>
        <v>11236078</v>
      </c>
      <c r="G33" s="615">
        <f t="shared" si="11"/>
        <v>66132666</v>
      </c>
      <c r="H33" s="615">
        <f t="shared" si="11"/>
        <v>0</v>
      </c>
      <c r="I33" s="615">
        <f t="shared" si="11"/>
        <v>421813191.39999998</v>
      </c>
      <c r="J33" s="615">
        <f t="shared" si="11"/>
        <v>66442477</v>
      </c>
      <c r="K33" s="615">
        <f t="shared" si="11"/>
        <v>53877738</v>
      </c>
      <c r="L33" s="31"/>
      <c r="M33" s="31"/>
      <c r="N33" s="31"/>
      <c r="O33" s="31"/>
      <c r="P33" s="31"/>
      <c r="Q33" s="31"/>
      <c r="R33" s="31"/>
      <c r="S33" s="31"/>
      <c r="T33" s="31"/>
      <c r="U33" s="31"/>
    </row>
    <row r="34" spans="1:21" ht="20.25" customHeight="1" thickTop="1">
      <c r="A34" s="852" t="s">
        <v>38</v>
      </c>
      <c r="B34" s="853" t="s">
        <v>94</v>
      </c>
      <c r="C34" s="854">
        <f t="shared" ref="C34:K34" si="12">ROUND(C11*10%,2)</f>
        <v>6814935</v>
      </c>
      <c r="D34" s="854">
        <f t="shared" si="12"/>
        <v>30534150</v>
      </c>
      <c r="E34" s="854">
        <f t="shared" si="12"/>
        <v>6967500</v>
      </c>
      <c r="F34" s="854">
        <f t="shared" si="12"/>
        <v>0</v>
      </c>
      <c r="G34" s="854">
        <f t="shared" si="12"/>
        <v>5650000</v>
      </c>
      <c r="H34" s="854">
        <f t="shared" si="12"/>
        <v>0</v>
      </c>
      <c r="I34" s="854">
        <f t="shared" si="12"/>
        <v>49800915</v>
      </c>
      <c r="J34" s="854">
        <f t="shared" si="12"/>
        <v>11750000</v>
      </c>
      <c r="K34" s="854">
        <f t="shared" si="12"/>
        <v>5900000</v>
      </c>
      <c r="L34" s="31"/>
      <c r="M34" s="31"/>
      <c r="N34" s="31"/>
      <c r="O34" s="31"/>
      <c r="P34" s="31"/>
      <c r="Q34" s="31"/>
      <c r="R34" s="31"/>
      <c r="S34" s="31"/>
      <c r="T34" s="31"/>
      <c r="U34" s="31"/>
    </row>
    <row r="35" spans="1:21" s="31" customFormat="1" ht="30">
      <c r="A35" s="648" t="s">
        <v>85</v>
      </c>
      <c r="B35" s="649" t="s">
        <v>95</v>
      </c>
      <c r="C35" s="616">
        <f t="shared" ref="C35:K35" si="13">C33+C34</f>
        <v>75937090</v>
      </c>
      <c r="D35" s="616">
        <f t="shared" si="13"/>
        <v>288551500</v>
      </c>
      <c r="E35" s="616">
        <f t="shared" si="13"/>
        <v>65295183</v>
      </c>
      <c r="F35" s="616">
        <f t="shared" si="13"/>
        <v>11236078</v>
      </c>
      <c r="G35" s="616">
        <f t="shared" si="13"/>
        <v>71782666</v>
      </c>
      <c r="H35" s="616">
        <f t="shared" si="13"/>
        <v>0</v>
      </c>
      <c r="I35" s="616">
        <f t="shared" si="13"/>
        <v>471614106.39999998</v>
      </c>
      <c r="J35" s="616">
        <f t="shared" si="13"/>
        <v>78192477</v>
      </c>
      <c r="K35" s="616">
        <f t="shared" si="13"/>
        <v>59777738</v>
      </c>
    </row>
    <row r="36" spans="1:21" s="31" customFormat="1" ht="14.25" customHeight="1">
      <c r="A36" s="39"/>
      <c r="B36" s="39"/>
      <c r="C36" s="42"/>
      <c r="D36" s="42"/>
      <c r="E36" s="42"/>
      <c r="F36" s="42"/>
      <c r="G36" s="42"/>
      <c r="H36" s="42"/>
      <c r="I36" s="42"/>
      <c r="J36" s="42"/>
      <c r="K36" s="42"/>
    </row>
    <row r="37" spans="1:21">
      <c r="A37" s="31" t="s">
        <v>96</v>
      </c>
      <c r="B37" s="1432" t="s">
        <v>1143</v>
      </c>
      <c r="C37" s="1432"/>
      <c r="D37" s="1432"/>
      <c r="E37" s="1432"/>
      <c r="F37" s="1432"/>
      <c r="G37" s="1432"/>
      <c r="H37" s="1432"/>
      <c r="I37" s="1432"/>
      <c r="J37" s="1432"/>
      <c r="K37" s="1432"/>
      <c r="L37" s="31"/>
      <c r="M37" s="31"/>
      <c r="N37" s="31"/>
      <c r="O37" s="31"/>
      <c r="P37" s="31"/>
      <c r="Q37" s="31"/>
      <c r="R37" s="31"/>
      <c r="S37" s="31"/>
      <c r="T37" s="31"/>
      <c r="U37" s="31"/>
    </row>
    <row r="38" spans="1:21">
      <c r="A38" s="31" t="s">
        <v>97</v>
      </c>
      <c r="B38" s="1433" t="s">
        <v>109</v>
      </c>
      <c r="C38" s="1433"/>
      <c r="D38" s="1433"/>
      <c r="E38" s="1433"/>
      <c r="F38" s="1433"/>
      <c r="G38" s="1433"/>
      <c r="H38" s="1433"/>
      <c r="I38" s="1433"/>
      <c r="J38" s="1433"/>
      <c r="K38" s="1433"/>
      <c r="L38" s="31"/>
      <c r="M38" s="31"/>
      <c r="N38" s="31"/>
      <c r="O38" s="31"/>
      <c r="P38" s="31"/>
      <c r="Q38" s="31"/>
      <c r="R38" s="31"/>
      <c r="S38" s="31"/>
      <c r="T38" s="31"/>
      <c r="U38" s="31"/>
    </row>
    <row r="39" spans="1:21" s="813" customFormat="1" ht="27" customHeight="1">
      <c r="A39" s="638" t="s">
        <v>1205</v>
      </c>
      <c r="B39" s="1434" t="s">
        <v>1332</v>
      </c>
      <c r="C39" s="1434"/>
      <c r="D39" s="1434"/>
      <c r="E39" s="1434"/>
      <c r="F39" s="1434"/>
      <c r="G39" s="1434"/>
      <c r="H39" s="1434"/>
      <c r="I39" s="1434"/>
      <c r="J39" s="1434"/>
      <c r="K39" s="1434"/>
      <c r="L39" s="812"/>
      <c r="M39" s="812"/>
      <c r="N39" s="812"/>
      <c r="O39" s="812"/>
      <c r="P39" s="812"/>
      <c r="Q39" s="812"/>
      <c r="R39" s="812"/>
      <c r="S39" s="812"/>
      <c r="T39" s="812"/>
      <c r="U39" s="812"/>
    </row>
    <row r="40" spans="1:21" s="813" customFormat="1">
      <c r="A40" s="638"/>
      <c r="B40" s="638" t="s">
        <v>1333</v>
      </c>
      <c r="C40" s="814"/>
      <c r="D40" s="814"/>
      <c r="E40" s="814"/>
      <c r="F40" s="814"/>
      <c r="G40" s="814"/>
      <c r="H40" s="814"/>
      <c r="I40" s="814"/>
      <c r="J40" s="812"/>
      <c r="K40" s="812"/>
      <c r="L40" s="812"/>
      <c r="M40" s="812"/>
      <c r="N40" s="812"/>
      <c r="O40" s="812"/>
      <c r="P40" s="812"/>
      <c r="Q40" s="812"/>
      <c r="R40" s="812"/>
      <c r="S40" s="812"/>
      <c r="T40" s="812"/>
      <c r="U40" s="812"/>
    </row>
    <row r="41" spans="1:21">
      <c r="A41" s="39"/>
      <c r="B41" s="39"/>
      <c r="C41" s="42"/>
      <c r="D41" s="42"/>
      <c r="E41" s="42"/>
      <c r="F41" s="42"/>
      <c r="G41" s="42"/>
      <c r="H41" s="42"/>
      <c r="I41" s="42"/>
      <c r="J41" s="31"/>
      <c r="K41" s="31"/>
      <c r="L41" s="31"/>
      <c r="M41" s="31"/>
      <c r="N41" s="31"/>
      <c r="O41" s="31"/>
      <c r="P41" s="31"/>
      <c r="Q41" s="31"/>
      <c r="R41" s="31"/>
      <c r="S41" s="31"/>
      <c r="T41" s="31"/>
      <c r="U41" s="31"/>
    </row>
    <row r="42" spans="1:21">
      <c r="A42" s="43"/>
      <c r="B42" s="44"/>
      <c r="C42" s="42"/>
      <c r="D42" s="42"/>
      <c r="E42" s="42"/>
      <c r="F42" s="42"/>
      <c r="G42" s="42"/>
      <c r="H42" s="42"/>
      <c r="I42" s="42"/>
      <c r="J42" s="31"/>
      <c r="K42" s="31"/>
      <c r="L42" s="31"/>
      <c r="M42" s="31"/>
      <c r="N42" s="31"/>
      <c r="O42" s="31"/>
      <c r="P42" s="31"/>
      <c r="Q42" s="31"/>
      <c r="R42" s="31"/>
      <c r="S42" s="31"/>
      <c r="T42" s="31"/>
      <c r="U42" s="31"/>
    </row>
    <row r="43" spans="1:21" ht="16.5">
      <c r="A43" s="39"/>
      <c r="B43" s="959" t="s">
        <v>536</v>
      </c>
      <c r="C43" s="1431" t="s">
        <v>1241</v>
      </c>
      <c r="D43" s="1431"/>
      <c r="E43" s="1431"/>
      <c r="H43" s="1307">
        <v>41179</v>
      </c>
      <c r="I43" s="298"/>
      <c r="J43" s="297"/>
      <c r="K43" s="31"/>
      <c r="L43" s="31"/>
      <c r="M43" s="31"/>
      <c r="N43" s="31"/>
      <c r="O43" s="31"/>
      <c r="P43" s="31"/>
      <c r="Q43" s="31"/>
      <c r="R43" s="31"/>
      <c r="S43" s="31"/>
      <c r="T43" s="31"/>
      <c r="U43" s="31"/>
    </row>
    <row r="44" spans="1:21">
      <c r="A44" s="45"/>
      <c r="B44" s="15"/>
      <c r="C44" s="1427" t="s">
        <v>1068</v>
      </c>
      <c r="D44" s="1427"/>
      <c r="E44" s="1427"/>
      <c r="H44" s="94" t="s">
        <v>628</v>
      </c>
      <c r="I44" s="49"/>
      <c r="J44" s="77"/>
      <c r="K44" s="31"/>
      <c r="L44" s="31"/>
      <c r="M44" s="31"/>
      <c r="N44" s="31"/>
      <c r="O44" s="31"/>
      <c r="P44" s="31"/>
      <c r="Q44" s="31"/>
      <c r="R44" s="31"/>
      <c r="S44" s="31"/>
      <c r="T44" s="31"/>
      <c r="U44" s="31"/>
    </row>
    <row r="45" spans="1:21">
      <c r="A45" s="45"/>
      <c r="B45" s="45"/>
      <c r="C45" s="42"/>
      <c r="D45" s="42"/>
      <c r="E45" s="42"/>
      <c r="F45" s="42"/>
      <c r="G45" s="42"/>
      <c r="H45" s="42"/>
      <c r="I45" s="42"/>
      <c r="J45" s="31"/>
      <c r="K45" s="31"/>
      <c r="L45" s="31"/>
      <c r="M45" s="31"/>
      <c r="N45" s="31"/>
      <c r="O45" s="31"/>
      <c r="P45" s="31"/>
      <c r="Q45" s="31"/>
      <c r="R45" s="31"/>
      <c r="S45" s="31"/>
      <c r="T45" s="31"/>
      <c r="U45" s="31"/>
    </row>
    <row r="46" spans="1:21">
      <c r="A46" s="45"/>
      <c r="B46" s="45"/>
      <c r="C46" s="42"/>
      <c r="D46" s="42"/>
      <c r="E46" s="42"/>
      <c r="F46" s="42"/>
      <c r="G46" s="42"/>
      <c r="H46" s="42"/>
      <c r="I46" s="42"/>
      <c r="J46" s="31"/>
      <c r="K46" s="31"/>
      <c r="L46" s="31"/>
      <c r="M46" s="31"/>
      <c r="N46" s="31"/>
      <c r="O46" s="31"/>
      <c r="P46" s="31"/>
      <c r="Q46" s="31"/>
      <c r="R46" s="31"/>
      <c r="S46" s="31"/>
      <c r="T46" s="31"/>
      <c r="U46" s="31"/>
    </row>
    <row r="47" spans="1:21">
      <c r="A47" s="45"/>
      <c r="B47" s="45"/>
      <c r="C47" s="42"/>
      <c r="D47" s="42"/>
      <c r="E47" s="42"/>
      <c r="F47" s="42"/>
      <c r="G47" s="42"/>
      <c r="H47" s="42"/>
      <c r="I47" s="42"/>
      <c r="J47" s="31"/>
      <c r="K47" s="31"/>
      <c r="L47" s="31"/>
      <c r="M47" s="31"/>
      <c r="N47" s="31"/>
      <c r="O47" s="31"/>
      <c r="P47" s="31"/>
      <c r="Q47" s="31"/>
      <c r="R47" s="31"/>
      <c r="S47" s="31"/>
      <c r="T47" s="31"/>
      <c r="U47" s="31"/>
    </row>
    <row r="48" spans="1:21">
      <c r="A48" s="45"/>
      <c r="B48" s="45"/>
      <c r="C48" s="42"/>
      <c r="D48" s="42"/>
      <c r="E48" s="42"/>
      <c r="F48" s="42"/>
      <c r="G48" s="42"/>
      <c r="H48" s="42"/>
      <c r="I48" s="42"/>
      <c r="J48" s="31"/>
      <c r="K48" s="31"/>
      <c r="L48" s="31"/>
      <c r="M48" s="31"/>
      <c r="N48" s="31"/>
      <c r="O48" s="31"/>
      <c r="P48" s="31"/>
      <c r="Q48" s="31"/>
      <c r="R48" s="31"/>
      <c r="S48" s="31"/>
      <c r="T48" s="31"/>
      <c r="U48" s="31"/>
    </row>
    <row r="49" spans="1:21">
      <c r="A49" s="45"/>
      <c r="B49" s="45"/>
      <c r="C49" s="42"/>
      <c r="D49" s="42"/>
      <c r="E49" s="42"/>
      <c r="F49" s="42"/>
      <c r="G49" s="42"/>
      <c r="H49" s="42"/>
      <c r="I49" s="42"/>
      <c r="J49" s="31"/>
      <c r="K49" s="31"/>
      <c r="L49" s="31"/>
      <c r="M49" s="31"/>
      <c r="N49" s="31"/>
      <c r="O49" s="31"/>
      <c r="P49" s="31"/>
      <c r="Q49" s="31"/>
      <c r="R49" s="31"/>
      <c r="S49" s="31"/>
      <c r="T49" s="31"/>
      <c r="U49" s="31"/>
    </row>
    <row r="50" spans="1:21">
      <c r="A50" s="31"/>
      <c r="B50" s="31"/>
      <c r="C50" s="46"/>
      <c r="D50" s="46"/>
      <c r="E50" s="46"/>
      <c r="F50" s="46"/>
      <c r="G50" s="46"/>
      <c r="H50" s="46"/>
      <c r="I50" s="46"/>
      <c r="J50" s="31"/>
      <c r="K50" s="31"/>
      <c r="L50" s="31"/>
      <c r="M50" s="31"/>
      <c r="N50" s="31"/>
      <c r="O50" s="31"/>
      <c r="P50" s="31"/>
      <c r="Q50" s="31"/>
      <c r="R50" s="31"/>
      <c r="S50" s="31"/>
      <c r="T50" s="31"/>
      <c r="U50" s="31"/>
    </row>
    <row r="51" spans="1:21">
      <c r="A51" s="31"/>
      <c r="B51" s="31"/>
      <c r="C51" s="46"/>
      <c r="D51" s="46"/>
      <c r="E51" s="46"/>
      <c r="F51" s="46"/>
      <c r="G51" s="46"/>
      <c r="H51" s="46"/>
      <c r="I51" s="46"/>
      <c r="J51" s="31"/>
      <c r="K51" s="31"/>
      <c r="L51" s="31"/>
      <c r="M51" s="31"/>
      <c r="N51" s="31"/>
      <c r="O51" s="31"/>
      <c r="P51" s="31"/>
      <c r="Q51" s="31"/>
      <c r="R51" s="31"/>
      <c r="S51" s="31"/>
      <c r="T51" s="31"/>
      <c r="U51" s="31"/>
    </row>
    <row r="52" spans="1:21">
      <c r="A52" s="31"/>
      <c r="B52" s="31"/>
      <c r="C52" s="46"/>
      <c r="D52" s="46"/>
      <c r="E52" s="46"/>
      <c r="F52" s="46"/>
      <c r="G52" s="46"/>
      <c r="H52" s="46"/>
      <c r="I52" s="46"/>
      <c r="J52" s="31"/>
      <c r="K52" s="31"/>
      <c r="L52" s="31"/>
      <c r="M52" s="31"/>
      <c r="N52" s="31"/>
      <c r="O52" s="31"/>
      <c r="P52" s="31"/>
      <c r="Q52" s="31"/>
      <c r="R52" s="31"/>
      <c r="S52" s="31"/>
      <c r="T52" s="31"/>
      <c r="U52" s="31"/>
    </row>
    <row r="53" spans="1:21">
      <c r="A53" s="31"/>
      <c r="B53" s="31"/>
      <c r="C53" s="31"/>
      <c r="D53" s="31"/>
      <c r="E53" s="31"/>
      <c r="F53" s="31"/>
      <c r="G53" s="31"/>
      <c r="H53" s="31"/>
      <c r="I53" s="31"/>
      <c r="J53" s="31"/>
      <c r="K53" s="31"/>
      <c r="L53" s="31"/>
      <c r="M53" s="31"/>
      <c r="N53" s="31"/>
      <c r="O53" s="31"/>
      <c r="P53" s="31"/>
      <c r="Q53" s="31"/>
      <c r="R53" s="31"/>
      <c r="S53" s="31"/>
      <c r="T53" s="31"/>
      <c r="U53" s="31"/>
    </row>
    <row r="54" spans="1:21">
      <c r="A54" s="31"/>
      <c r="B54" s="31"/>
      <c r="C54" s="31"/>
      <c r="D54" s="31"/>
      <c r="E54" s="31"/>
      <c r="F54" s="31"/>
      <c r="G54" s="31"/>
      <c r="H54" s="31"/>
      <c r="I54" s="31"/>
      <c r="J54" s="31"/>
      <c r="K54" s="31"/>
      <c r="L54" s="31"/>
      <c r="M54" s="31"/>
      <c r="N54" s="31"/>
      <c r="O54" s="31"/>
      <c r="P54" s="31"/>
      <c r="Q54" s="31"/>
      <c r="R54" s="31"/>
      <c r="S54" s="31"/>
      <c r="T54" s="31"/>
      <c r="U54" s="31"/>
    </row>
    <row r="55" spans="1:21">
      <c r="A55" s="31"/>
      <c r="B55" s="31"/>
      <c r="C55" s="31"/>
      <c r="D55" s="31"/>
      <c r="E55" s="31"/>
      <c r="F55" s="31"/>
      <c r="G55" s="31"/>
      <c r="H55" s="31"/>
      <c r="I55" s="31"/>
      <c r="J55" s="31"/>
      <c r="K55" s="31"/>
      <c r="L55" s="31"/>
      <c r="M55" s="31"/>
      <c r="N55" s="31"/>
      <c r="O55" s="31"/>
      <c r="P55" s="31"/>
      <c r="Q55" s="31"/>
      <c r="R55" s="31"/>
      <c r="S55" s="31"/>
      <c r="T55" s="31"/>
      <c r="U55" s="31"/>
    </row>
    <row r="56" spans="1:21">
      <c r="A56" s="31"/>
      <c r="B56" s="31"/>
      <c r="C56" s="31"/>
      <c r="D56" s="31"/>
      <c r="E56" s="31"/>
      <c r="F56" s="31"/>
      <c r="G56" s="31"/>
      <c r="H56" s="31"/>
      <c r="I56" s="31"/>
      <c r="J56" s="31"/>
      <c r="K56" s="31"/>
      <c r="L56" s="31"/>
      <c r="M56" s="31"/>
      <c r="N56" s="31"/>
      <c r="O56" s="31"/>
      <c r="P56" s="31"/>
      <c r="Q56" s="31"/>
      <c r="R56" s="31"/>
      <c r="S56" s="31"/>
      <c r="T56" s="31"/>
      <c r="U56" s="31"/>
    </row>
    <row r="57" spans="1:21">
      <c r="A57" s="31"/>
      <c r="B57" s="31"/>
      <c r="C57" s="31"/>
      <c r="D57" s="31"/>
      <c r="E57" s="31"/>
      <c r="F57" s="31"/>
      <c r="G57" s="31"/>
      <c r="H57" s="31"/>
      <c r="I57" s="31"/>
      <c r="J57" s="31"/>
      <c r="K57" s="31"/>
      <c r="L57" s="31"/>
      <c r="M57" s="31"/>
      <c r="N57" s="31"/>
      <c r="O57" s="31"/>
      <c r="P57" s="31"/>
      <c r="Q57" s="31"/>
      <c r="R57" s="31"/>
      <c r="S57" s="31"/>
      <c r="T57" s="31"/>
      <c r="U57" s="31"/>
    </row>
    <row r="58" spans="1:21">
      <c r="A58" s="31"/>
      <c r="B58" s="31"/>
      <c r="C58" s="31"/>
      <c r="D58" s="31"/>
      <c r="E58" s="31"/>
      <c r="F58" s="31"/>
      <c r="G58" s="31"/>
      <c r="H58" s="31"/>
      <c r="I58" s="31"/>
      <c r="J58" s="31"/>
      <c r="K58" s="31"/>
      <c r="L58" s="31"/>
      <c r="M58" s="31"/>
      <c r="N58" s="31"/>
      <c r="O58" s="31"/>
      <c r="P58" s="31"/>
      <c r="Q58" s="31"/>
      <c r="R58" s="31"/>
      <c r="S58" s="31"/>
      <c r="T58" s="31"/>
      <c r="U58" s="31"/>
    </row>
    <row r="59" spans="1:21">
      <c r="A59" s="31"/>
      <c r="B59" s="31"/>
      <c r="C59" s="31"/>
      <c r="D59" s="31"/>
      <c r="E59" s="31"/>
      <c r="F59" s="31"/>
      <c r="G59" s="31"/>
      <c r="H59" s="31"/>
      <c r="I59" s="31"/>
      <c r="J59" s="31"/>
      <c r="K59" s="31"/>
      <c r="L59" s="31"/>
      <c r="M59" s="31"/>
      <c r="N59" s="31"/>
      <c r="O59" s="31"/>
      <c r="P59" s="31"/>
      <c r="Q59" s="31"/>
      <c r="R59" s="31"/>
      <c r="S59" s="31"/>
      <c r="T59" s="31"/>
      <c r="U59" s="31"/>
    </row>
    <row r="60" spans="1:21">
      <c r="A60" s="31"/>
      <c r="B60" s="31"/>
      <c r="C60" s="31"/>
      <c r="D60" s="31"/>
      <c r="E60" s="31"/>
      <c r="F60" s="31"/>
      <c r="G60" s="31"/>
      <c r="H60" s="31"/>
      <c r="I60" s="31"/>
      <c r="J60" s="31"/>
      <c r="K60" s="31"/>
      <c r="L60" s="31"/>
      <c r="M60" s="31"/>
      <c r="N60" s="31"/>
      <c r="O60" s="31"/>
      <c r="P60" s="31"/>
      <c r="Q60" s="31"/>
      <c r="R60" s="31"/>
      <c r="S60" s="31"/>
      <c r="T60" s="31"/>
      <c r="U60" s="31"/>
    </row>
    <row r="61" spans="1:21">
      <c r="A61" s="31"/>
      <c r="B61" s="31"/>
      <c r="C61" s="31"/>
      <c r="D61" s="31"/>
      <c r="E61" s="31"/>
      <c r="F61" s="31"/>
      <c r="G61" s="31"/>
      <c r="H61" s="31"/>
      <c r="I61" s="31"/>
      <c r="J61" s="31"/>
      <c r="K61" s="31"/>
      <c r="L61" s="31"/>
      <c r="M61" s="31"/>
      <c r="N61" s="31"/>
      <c r="O61" s="31"/>
      <c r="P61" s="31"/>
      <c r="Q61" s="31"/>
      <c r="R61" s="31"/>
      <c r="S61" s="31"/>
      <c r="T61" s="31"/>
      <c r="U61" s="31"/>
    </row>
    <row r="62" spans="1:21">
      <c r="A62" s="31"/>
      <c r="B62" s="31"/>
      <c r="C62" s="31"/>
      <c r="D62" s="31"/>
      <c r="E62" s="31"/>
      <c r="F62" s="31"/>
      <c r="G62" s="31"/>
      <c r="H62" s="31"/>
      <c r="I62" s="31"/>
      <c r="J62" s="31"/>
      <c r="K62" s="31"/>
      <c r="L62" s="31"/>
      <c r="M62" s="31"/>
      <c r="N62" s="31"/>
      <c r="O62" s="31"/>
      <c r="P62" s="31"/>
      <c r="Q62" s="31"/>
      <c r="R62" s="31"/>
      <c r="S62" s="31"/>
      <c r="T62" s="31"/>
      <c r="U62" s="31"/>
    </row>
    <row r="63" spans="1:21">
      <c r="A63" s="31"/>
      <c r="B63" s="31"/>
      <c r="C63" s="31"/>
      <c r="D63" s="31"/>
      <c r="E63" s="31"/>
      <c r="F63" s="31"/>
      <c r="G63" s="31"/>
      <c r="H63" s="31"/>
      <c r="I63" s="31"/>
      <c r="J63" s="31"/>
      <c r="K63" s="31"/>
      <c r="L63" s="31"/>
      <c r="M63" s="31"/>
      <c r="N63" s="31"/>
      <c r="O63" s="31"/>
      <c r="P63" s="31"/>
      <c r="Q63" s="31"/>
      <c r="R63" s="31"/>
      <c r="S63" s="31"/>
      <c r="T63" s="31"/>
      <c r="U63" s="31"/>
    </row>
    <row r="64" spans="1:21">
      <c r="A64" s="31"/>
      <c r="B64" s="31"/>
      <c r="C64" s="31"/>
      <c r="D64" s="31"/>
      <c r="E64" s="31"/>
      <c r="F64" s="31"/>
      <c r="G64" s="31"/>
      <c r="H64" s="31"/>
      <c r="I64" s="31"/>
      <c r="J64" s="31"/>
      <c r="K64" s="31"/>
      <c r="L64" s="31"/>
      <c r="M64" s="31"/>
      <c r="N64" s="31"/>
      <c r="O64" s="31"/>
      <c r="P64" s="31"/>
      <c r="Q64" s="31"/>
      <c r="R64" s="31"/>
      <c r="S64" s="31"/>
      <c r="T64" s="31"/>
      <c r="U64" s="31"/>
    </row>
    <row r="65" spans="1:21">
      <c r="A65" s="31"/>
      <c r="B65" s="31"/>
      <c r="C65" s="31"/>
      <c r="D65" s="31"/>
      <c r="E65" s="31"/>
      <c r="F65" s="31"/>
      <c r="G65" s="31"/>
      <c r="H65" s="31"/>
      <c r="I65" s="31"/>
      <c r="J65" s="31"/>
      <c r="K65" s="31"/>
      <c r="L65" s="31"/>
      <c r="M65" s="31"/>
      <c r="N65" s="31"/>
      <c r="O65" s="31"/>
      <c r="P65" s="31"/>
      <c r="Q65" s="31"/>
      <c r="R65" s="31"/>
      <c r="S65" s="31"/>
      <c r="T65" s="31"/>
      <c r="U65" s="31"/>
    </row>
    <row r="66" spans="1:21">
      <c r="A66" s="31"/>
      <c r="B66" s="31"/>
      <c r="C66" s="31"/>
      <c r="D66" s="31"/>
      <c r="E66" s="31"/>
      <c r="F66" s="31"/>
      <c r="G66" s="31"/>
      <c r="H66" s="31"/>
      <c r="I66" s="31"/>
      <c r="J66" s="31"/>
      <c r="K66" s="31"/>
      <c r="L66" s="31"/>
      <c r="M66" s="31"/>
      <c r="N66" s="31"/>
      <c r="O66" s="31"/>
      <c r="P66" s="31"/>
      <c r="Q66" s="31"/>
      <c r="R66" s="31"/>
      <c r="S66" s="31"/>
      <c r="T66" s="31"/>
      <c r="U66" s="31"/>
    </row>
    <row r="67" spans="1:21">
      <c r="A67" s="31"/>
      <c r="B67" s="31"/>
      <c r="C67" s="31"/>
      <c r="D67" s="31"/>
      <c r="E67" s="31"/>
      <c r="F67" s="31"/>
      <c r="G67" s="31"/>
      <c r="H67" s="31"/>
      <c r="I67" s="31"/>
      <c r="J67" s="31"/>
      <c r="K67" s="31"/>
      <c r="L67" s="31"/>
      <c r="M67" s="31"/>
      <c r="N67" s="31"/>
      <c r="O67" s="31"/>
      <c r="P67" s="31"/>
      <c r="Q67" s="31"/>
      <c r="R67" s="31"/>
      <c r="S67" s="31"/>
      <c r="T67" s="31"/>
      <c r="U67" s="31"/>
    </row>
    <row r="68" spans="1:21">
      <c r="A68" s="31"/>
      <c r="B68" s="31"/>
      <c r="C68" s="31"/>
      <c r="D68" s="31"/>
      <c r="E68" s="31"/>
      <c r="F68" s="31"/>
      <c r="G68" s="31"/>
      <c r="H68" s="31"/>
      <c r="I68" s="31"/>
      <c r="J68" s="31"/>
      <c r="K68" s="31"/>
      <c r="L68" s="31"/>
      <c r="M68" s="31"/>
      <c r="N68" s="31"/>
      <c r="O68" s="31"/>
      <c r="P68" s="31"/>
      <c r="Q68" s="31"/>
      <c r="R68" s="31"/>
      <c r="S68" s="31"/>
      <c r="T68" s="31"/>
      <c r="U68" s="31"/>
    </row>
    <row r="69" spans="1:21">
      <c r="A69" s="31"/>
      <c r="B69" s="31"/>
      <c r="C69" s="31"/>
      <c r="D69" s="31"/>
      <c r="E69" s="31"/>
      <c r="F69" s="31"/>
      <c r="G69" s="31"/>
      <c r="H69" s="31"/>
      <c r="I69" s="31"/>
      <c r="J69" s="31"/>
      <c r="K69" s="31"/>
      <c r="L69" s="31"/>
      <c r="M69" s="31"/>
      <c r="N69" s="31"/>
      <c r="O69" s="31"/>
      <c r="P69" s="31"/>
      <c r="Q69" s="31"/>
      <c r="R69" s="31"/>
      <c r="S69" s="31"/>
      <c r="T69" s="31"/>
      <c r="U69" s="31"/>
    </row>
    <row r="70" spans="1:21">
      <c r="A70" s="31"/>
      <c r="B70" s="31"/>
      <c r="C70" s="31"/>
      <c r="D70" s="31"/>
      <c r="E70" s="31"/>
      <c r="F70" s="31"/>
      <c r="G70" s="31"/>
      <c r="H70" s="31"/>
      <c r="I70" s="31"/>
      <c r="J70" s="31"/>
      <c r="K70" s="31"/>
      <c r="L70" s="31"/>
      <c r="M70" s="31"/>
      <c r="N70" s="31"/>
      <c r="O70" s="31"/>
      <c r="P70" s="31"/>
      <c r="Q70" s="31"/>
      <c r="R70" s="31"/>
      <c r="S70" s="31"/>
      <c r="T70" s="31"/>
      <c r="U70" s="31"/>
    </row>
    <row r="71" spans="1:21">
      <c r="A71" s="31"/>
      <c r="B71" s="31"/>
      <c r="C71" s="31"/>
      <c r="D71" s="31"/>
      <c r="E71" s="31"/>
      <c r="F71" s="31"/>
      <c r="G71" s="31"/>
      <c r="H71" s="31"/>
      <c r="I71" s="31"/>
      <c r="J71" s="31"/>
      <c r="K71" s="31"/>
      <c r="L71" s="31"/>
      <c r="M71" s="31"/>
      <c r="N71" s="31"/>
      <c r="O71" s="31"/>
      <c r="P71" s="31"/>
      <c r="Q71" s="31"/>
      <c r="R71" s="31"/>
      <c r="S71" s="31"/>
      <c r="T71" s="31"/>
      <c r="U71" s="31"/>
    </row>
    <row r="72" spans="1:21">
      <c r="A72" s="31"/>
      <c r="B72" s="31"/>
      <c r="C72" s="31"/>
      <c r="D72" s="31"/>
      <c r="E72" s="31"/>
      <c r="F72" s="31"/>
      <c r="G72" s="31"/>
      <c r="H72" s="31"/>
      <c r="I72" s="31"/>
      <c r="J72" s="31"/>
      <c r="K72" s="31"/>
      <c r="L72" s="31"/>
      <c r="M72" s="31"/>
      <c r="N72" s="31"/>
      <c r="O72" s="31"/>
      <c r="P72" s="31"/>
      <c r="Q72" s="31"/>
      <c r="R72" s="31"/>
      <c r="S72" s="31"/>
      <c r="T72" s="31"/>
      <c r="U72" s="31"/>
    </row>
    <row r="73" spans="1:21">
      <c r="A73" s="31"/>
      <c r="B73" s="31"/>
      <c r="C73" s="31"/>
      <c r="D73" s="31"/>
      <c r="E73" s="31"/>
      <c r="F73" s="31"/>
      <c r="G73" s="31"/>
      <c r="H73" s="31"/>
      <c r="I73" s="31"/>
      <c r="J73" s="31"/>
      <c r="K73" s="31"/>
      <c r="L73" s="31"/>
      <c r="M73" s="31"/>
      <c r="N73" s="31"/>
      <c r="O73" s="31"/>
      <c r="P73" s="31"/>
      <c r="Q73" s="31"/>
      <c r="R73" s="31"/>
      <c r="S73" s="31"/>
      <c r="T73" s="31"/>
      <c r="U73" s="31"/>
    </row>
    <row r="74" spans="1:21">
      <c r="A74" s="31"/>
      <c r="B74" s="31"/>
      <c r="C74" s="31"/>
      <c r="D74" s="31"/>
      <c r="E74" s="31"/>
      <c r="F74" s="31"/>
      <c r="G74" s="31"/>
      <c r="H74" s="31"/>
      <c r="I74" s="31"/>
      <c r="J74" s="31"/>
      <c r="K74" s="31"/>
      <c r="L74" s="31"/>
      <c r="M74" s="31"/>
      <c r="N74" s="31"/>
      <c r="O74" s="31"/>
      <c r="P74" s="31"/>
      <c r="Q74" s="31"/>
      <c r="R74" s="31"/>
      <c r="S74" s="31"/>
      <c r="T74" s="31"/>
      <c r="U74" s="31"/>
    </row>
    <row r="75" spans="1:21">
      <c r="A75" s="31"/>
      <c r="B75" s="31"/>
      <c r="C75" s="31"/>
      <c r="D75" s="31"/>
      <c r="E75" s="31"/>
      <c r="F75" s="31"/>
      <c r="G75" s="31"/>
      <c r="H75" s="31"/>
      <c r="I75" s="31"/>
      <c r="J75" s="31"/>
      <c r="K75" s="31"/>
      <c r="L75" s="31"/>
      <c r="M75" s="31"/>
      <c r="N75" s="31"/>
      <c r="O75" s="31"/>
      <c r="P75" s="31"/>
      <c r="Q75" s="31"/>
      <c r="R75" s="31"/>
      <c r="S75" s="31"/>
      <c r="T75" s="31"/>
      <c r="U75" s="31"/>
    </row>
    <row r="76" spans="1:21">
      <c r="A76" s="31"/>
      <c r="B76" s="31"/>
      <c r="C76" s="31"/>
      <c r="D76" s="31"/>
      <c r="E76" s="31"/>
      <c r="F76" s="31"/>
      <c r="G76" s="31"/>
      <c r="H76" s="31"/>
      <c r="I76" s="31"/>
      <c r="J76" s="31"/>
      <c r="K76" s="31"/>
      <c r="L76" s="31"/>
      <c r="M76" s="31"/>
      <c r="N76" s="31"/>
      <c r="O76" s="31"/>
      <c r="P76" s="31"/>
      <c r="Q76" s="31"/>
      <c r="R76" s="31"/>
      <c r="S76" s="31"/>
      <c r="T76" s="31"/>
      <c r="U76" s="31"/>
    </row>
    <row r="77" spans="1:21">
      <c r="A77" s="31"/>
      <c r="B77" s="31"/>
      <c r="C77" s="31"/>
      <c r="D77" s="31"/>
      <c r="E77" s="31"/>
      <c r="F77" s="31"/>
      <c r="G77" s="31"/>
      <c r="H77" s="31"/>
      <c r="I77" s="31"/>
      <c r="J77" s="31"/>
      <c r="K77" s="31"/>
      <c r="L77" s="31"/>
      <c r="M77" s="31"/>
      <c r="N77" s="31"/>
      <c r="O77" s="31"/>
      <c r="P77" s="31"/>
      <c r="Q77" s="31"/>
      <c r="R77" s="31"/>
      <c r="S77" s="31"/>
      <c r="T77" s="31"/>
      <c r="U77" s="31"/>
    </row>
    <row r="78" spans="1:21">
      <c r="A78" s="31"/>
      <c r="B78" s="31"/>
      <c r="C78" s="31"/>
      <c r="D78" s="31"/>
      <c r="E78" s="31"/>
      <c r="F78" s="31"/>
      <c r="G78" s="31"/>
      <c r="H78" s="31"/>
      <c r="I78" s="31"/>
      <c r="J78" s="31"/>
      <c r="K78" s="31"/>
      <c r="L78" s="31"/>
      <c r="M78" s="31"/>
      <c r="N78" s="31"/>
      <c r="O78" s="31"/>
      <c r="P78" s="31"/>
      <c r="Q78" s="31"/>
      <c r="R78" s="31"/>
      <c r="S78" s="31"/>
      <c r="T78" s="31"/>
      <c r="U78" s="31"/>
    </row>
    <row r="79" spans="1:21">
      <c r="A79" s="31"/>
      <c r="B79" s="31"/>
      <c r="C79" s="31"/>
      <c r="D79" s="31"/>
      <c r="E79" s="31"/>
      <c r="F79" s="31"/>
      <c r="G79" s="31"/>
      <c r="H79" s="31"/>
      <c r="I79" s="31"/>
      <c r="J79" s="31"/>
      <c r="K79" s="31"/>
      <c r="L79" s="31"/>
      <c r="M79" s="31"/>
      <c r="N79" s="31"/>
      <c r="O79" s="31"/>
      <c r="P79" s="31"/>
      <c r="Q79" s="31"/>
      <c r="R79" s="31"/>
      <c r="S79" s="31"/>
      <c r="T79" s="31"/>
      <c r="U79" s="31"/>
    </row>
    <row r="80" spans="1:21">
      <c r="A80" s="31"/>
      <c r="B80" s="31"/>
      <c r="C80" s="31"/>
      <c r="D80" s="31"/>
      <c r="E80" s="31"/>
      <c r="F80" s="31"/>
      <c r="G80" s="31"/>
      <c r="H80" s="31"/>
      <c r="I80" s="31"/>
      <c r="J80" s="31"/>
      <c r="K80" s="31"/>
      <c r="L80" s="31"/>
      <c r="M80" s="31"/>
      <c r="N80" s="31"/>
      <c r="O80" s="31"/>
      <c r="P80" s="31"/>
      <c r="Q80" s="31"/>
      <c r="R80" s="31"/>
      <c r="S80" s="31"/>
      <c r="T80" s="31"/>
      <c r="U80" s="31"/>
    </row>
    <row r="81" spans="1:21">
      <c r="A81" s="31"/>
      <c r="B81" s="31"/>
      <c r="C81" s="31"/>
      <c r="D81" s="31"/>
      <c r="E81" s="31"/>
      <c r="F81" s="31"/>
      <c r="G81" s="31"/>
      <c r="H81" s="31"/>
      <c r="I81" s="31"/>
      <c r="J81" s="31"/>
      <c r="K81" s="31"/>
      <c r="L81" s="31"/>
      <c r="M81" s="31"/>
      <c r="N81" s="31"/>
      <c r="O81" s="31"/>
      <c r="P81" s="31"/>
      <c r="Q81" s="31"/>
      <c r="R81" s="31"/>
      <c r="S81" s="31"/>
      <c r="T81" s="31"/>
      <c r="U81" s="31"/>
    </row>
    <row r="82" spans="1:21">
      <c r="A82" s="31"/>
      <c r="B82" s="31"/>
      <c r="C82" s="31"/>
      <c r="D82" s="31"/>
      <c r="E82" s="31"/>
      <c r="F82" s="31"/>
      <c r="G82" s="31"/>
      <c r="H82" s="31"/>
      <c r="I82" s="31"/>
      <c r="J82" s="31"/>
      <c r="K82" s="31"/>
      <c r="L82" s="31"/>
      <c r="M82" s="31"/>
      <c r="N82" s="31"/>
      <c r="O82" s="31"/>
      <c r="P82" s="31"/>
      <c r="Q82" s="31"/>
      <c r="R82" s="31"/>
      <c r="S82" s="31"/>
      <c r="T82" s="31"/>
      <c r="U82" s="31"/>
    </row>
    <row r="83" spans="1:21">
      <c r="A83" s="31"/>
      <c r="B83" s="31"/>
      <c r="C83" s="31"/>
      <c r="D83" s="31"/>
      <c r="E83" s="31"/>
      <c r="F83" s="31"/>
      <c r="G83" s="31"/>
      <c r="H83" s="31"/>
      <c r="I83" s="31"/>
      <c r="J83" s="31"/>
      <c r="K83" s="31"/>
      <c r="L83" s="31"/>
      <c r="M83" s="31"/>
      <c r="N83" s="31"/>
      <c r="O83" s="31"/>
      <c r="P83" s="31"/>
      <c r="Q83" s="31"/>
      <c r="R83" s="31"/>
      <c r="S83" s="31"/>
      <c r="T83" s="31"/>
      <c r="U83" s="31"/>
    </row>
    <row r="84" spans="1:21">
      <c r="A84" s="31"/>
      <c r="B84" s="31"/>
      <c r="C84" s="31"/>
      <c r="D84" s="31"/>
      <c r="E84" s="31"/>
      <c r="F84" s="31"/>
      <c r="G84" s="31"/>
      <c r="H84" s="31"/>
      <c r="I84" s="31"/>
      <c r="J84" s="31"/>
      <c r="K84" s="31"/>
      <c r="L84" s="31"/>
      <c r="M84" s="31"/>
      <c r="N84" s="31"/>
      <c r="O84" s="31"/>
      <c r="P84" s="31"/>
      <c r="Q84" s="31"/>
      <c r="R84" s="31"/>
      <c r="S84" s="31"/>
      <c r="T84" s="31"/>
      <c r="U84" s="31"/>
    </row>
    <row r="85" spans="1:21">
      <c r="A85" s="31"/>
      <c r="B85" s="31"/>
      <c r="C85" s="31"/>
      <c r="D85" s="31"/>
      <c r="E85" s="31"/>
      <c r="F85" s="31"/>
      <c r="G85" s="31"/>
      <c r="H85" s="31"/>
      <c r="I85" s="31"/>
      <c r="J85" s="31"/>
      <c r="K85" s="31"/>
      <c r="L85" s="31"/>
      <c r="M85" s="31"/>
      <c r="N85" s="31"/>
      <c r="O85" s="31"/>
      <c r="P85" s="31"/>
      <c r="Q85" s="31"/>
      <c r="R85" s="31"/>
      <c r="S85" s="31"/>
      <c r="T85" s="31"/>
      <c r="U85" s="31"/>
    </row>
    <row r="86" spans="1:21">
      <c r="A86" s="31"/>
      <c r="B86" s="31"/>
      <c r="C86" s="31"/>
      <c r="D86" s="31"/>
      <c r="E86" s="31"/>
      <c r="F86" s="31"/>
      <c r="G86" s="31"/>
      <c r="H86" s="31"/>
      <c r="I86" s="31"/>
      <c r="J86" s="31"/>
      <c r="K86" s="31"/>
      <c r="L86" s="31"/>
      <c r="M86" s="31"/>
      <c r="N86" s="31"/>
      <c r="O86" s="31"/>
      <c r="P86" s="31"/>
      <c r="Q86" s="31"/>
      <c r="R86" s="31"/>
      <c r="S86" s="31"/>
      <c r="T86" s="31"/>
      <c r="U86" s="31"/>
    </row>
    <row r="87" spans="1:21">
      <c r="A87" s="31"/>
      <c r="B87" s="31"/>
      <c r="C87" s="31"/>
      <c r="D87" s="31"/>
      <c r="E87" s="31"/>
      <c r="F87" s="31"/>
      <c r="G87" s="31"/>
      <c r="H87" s="31"/>
      <c r="I87" s="31"/>
      <c r="J87" s="31"/>
      <c r="K87" s="31"/>
      <c r="L87" s="31"/>
      <c r="M87" s="31"/>
      <c r="N87" s="31"/>
      <c r="O87" s="31"/>
      <c r="P87" s="31"/>
      <c r="Q87" s="31"/>
      <c r="R87" s="31"/>
      <c r="S87" s="31"/>
      <c r="T87" s="31"/>
      <c r="U87" s="31"/>
    </row>
    <row r="88" spans="1:21">
      <c r="A88" s="31"/>
      <c r="B88" s="31"/>
      <c r="C88" s="31"/>
      <c r="D88" s="31"/>
      <c r="E88" s="31"/>
      <c r="F88" s="31"/>
      <c r="G88" s="31"/>
      <c r="H88" s="31"/>
      <c r="I88" s="31"/>
      <c r="J88" s="31"/>
      <c r="K88" s="31"/>
      <c r="L88" s="31"/>
      <c r="M88" s="31"/>
      <c r="N88" s="31"/>
      <c r="O88" s="31"/>
      <c r="P88" s="31"/>
      <c r="Q88" s="31"/>
      <c r="R88" s="31"/>
      <c r="S88" s="31"/>
      <c r="T88" s="31"/>
      <c r="U88" s="31"/>
    </row>
    <row r="89" spans="1:21">
      <c r="A89" s="31"/>
      <c r="B89" s="31"/>
      <c r="C89" s="31"/>
      <c r="D89" s="31"/>
      <c r="E89" s="31"/>
      <c r="F89" s="31"/>
      <c r="G89" s="31"/>
      <c r="H89" s="31"/>
      <c r="I89" s="31"/>
      <c r="J89" s="31"/>
      <c r="K89" s="31"/>
      <c r="L89" s="31"/>
      <c r="M89" s="31"/>
      <c r="N89" s="31"/>
      <c r="O89" s="31"/>
      <c r="P89" s="31"/>
      <c r="Q89" s="31"/>
      <c r="R89" s="31"/>
      <c r="S89" s="31"/>
      <c r="T89" s="31"/>
      <c r="U89" s="31"/>
    </row>
    <row r="90" spans="1:21">
      <c r="A90" s="31"/>
      <c r="B90" s="31"/>
      <c r="C90" s="31"/>
      <c r="D90" s="31"/>
      <c r="E90" s="31"/>
      <c r="F90" s="31"/>
      <c r="G90" s="31"/>
      <c r="H90" s="31"/>
      <c r="I90" s="31"/>
      <c r="J90" s="31"/>
      <c r="K90" s="31"/>
      <c r="L90" s="31"/>
      <c r="M90" s="31"/>
      <c r="N90" s="31"/>
      <c r="O90" s="31"/>
      <c r="P90" s="31"/>
      <c r="Q90" s="31"/>
      <c r="R90" s="31"/>
      <c r="S90" s="31"/>
      <c r="T90" s="31"/>
      <c r="U90" s="31"/>
    </row>
    <row r="91" spans="1:21">
      <c r="A91" s="31"/>
      <c r="B91" s="31"/>
      <c r="C91" s="31"/>
      <c r="D91" s="31"/>
      <c r="E91" s="31"/>
      <c r="F91" s="31"/>
      <c r="G91" s="31"/>
      <c r="H91" s="31"/>
      <c r="I91" s="31"/>
      <c r="J91" s="31"/>
      <c r="K91" s="31"/>
      <c r="L91" s="31"/>
      <c r="M91" s="31"/>
      <c r="N91" s="31"/>
      <c r="O91" s="31"/>
      <c r="P91" s="31"/>
      <c r="Q91" s="31"/>
      <c r="R91" s="31"/>
      <c r="S91" s="31"/>
      <c r="T91" s="31"/>
      <c r="U91" s="31"/>
    </row>
    <row r="92" spans="1:21">
      <c r="A92" s="31"/>
      <c r="B92" s="31"/>
      <c r="C92" s="31"/>
      <c r="D92" s="31"/>
      <c r="E92" s="31"/>
      <c r="F92" s="31"/>
      <c r="G92" s="31"/>
      <c r="H92" s="31"/>
      <c r="I92" s="31"/>
      <c r="J92" s="31"/>
      <c r="K92" s="31"/>
      <c r="L92" s="31"/>
      <c r="M92" s="31"/>
      <c r="N92" s="31"/>
      <c r="O92" s="31"/>
      <c r="P92" s="31"/>
      <c r="Q92" s="31"/>
      <c r="R92" s="31"/>
      <c r="S92" s="31"/>
      <c r="T92" s="31"/>
      <c r="U92" s="31"/>
    </row>
    <row r="93" spans="1:21">
      <c r="A93" s="31"/>
      <c r="B93" s="31"/>
      <c r="C93" s="31"/>
      <c r="D93" s="31"/>
      <c r="E93" s="31"/>
      <c r="F93" s="31"/>
      <c r="G93" s="31"/>
      <c r="H93" s="31"/>
      <c r="I93" s="31"/>
      <c r="J93" s="31"/>
      <c r="K93" s="31"/>
      <c r="L93" s="31"/>
      <c r="M93" s="31"/>
      <c r="N93" s="31"/>
      <c r="O93" s="31"/>
      <c r="P93" s="31"/>
      <c r="Q93" s="31"/>
      <c r="R93" s="31"/>
      <c r="S93" s="31"/>
      <c r="T93" s="31"/>
      <c r="U93" s="31"/>
    </row>
    <row r="94" spans="1:21">
      <c r="A94" s="31"/>
      <c r="B94" s="31"/>
      <c r="C94" s="31"/>
      <c r="D94" s="31"/>
      <c r="E94" s="31"/>
      <c r="F94" s="31"/>
      <c r="G94" s="31"/>
      <c r="H94" s="31"/>
      <c r="I94" s="31"/>
      <c r="J94" s="31"/>
      <c r="K94" s="31"/>
      <c r="L94" s="31"/>
      <c r="M94" s="31"/>
      <c r="N94" s="31"/>
      <c r="O94" s="31"/>
      <c r="P94" s="31"/>
      <c r="Q94" s="31"/>
      <c r="R94" s="31"/>
      <c r="S94" s="31"/>
      <c r="T94" s="31"/>
      <c r="U94" s="31"/>
    </row>
    <row r="95" spans="1:21">
      <c r="A95" s="31"/>
      <c r="B95" s="31"/>
      <c r="C95" s="31"/>
      <c r="D95" s="31"/>
      <c r="E95" s="31"/>
      <c r="F95" s="31"/>
      <c r="G95" s="31"/>
      <c r="H95" s="31"/>
      <c r="I95" s="31"/>
      <c r="J95" s="31"/>
      <c r="K95" s="31"/>
      <c r="L95" s="31"/>
      <c r="M95" s="31"/>
      <c r="N95" s="31"/>
      <c r="O95" s="31"/>
      <c r="P95" s="31"/>
      <c r="Q95" s="31"/>
      <c r="R95" s="31"/>
      <c r="S95" s="31"/>
      <c r="T95" s="31"/>
      <c r="U95" s="31"/>
    </row>
    <row r="96" spans="1:21">
      <c r="A96" s="31"/>
      <c r="B96" s="31"/>
      <c r="C96" s="31"/>
      <c r="D96" s="31"/>
      <c r="E96" s="31"/>
      <c r="F96" s="31"/>
      <c r="G96" s="31"/>
      <c r="H96" s="31"/>
      <c r="I96" s="31"/>
      <c r="J96" s="31"/>
      <c r="K96" s="31"/>
      <c r="L96" s="31"/>
      <c r="M96" s="31"/>
      <c r="N96" s="31"/>
      <c r="O96" s="31"/>
      <c r="P96" s="31"/>
      <c r="Q96" s="31"/>
      <c r="R96" s="31"/>
      <c r="S96" s="31"/>
      <c r="T96" s="31"/>
      <c r="U96" s="31"/>
    </row>
    <row r="97" spans="1:21">
      <c r="A97" s="31"/>
      <c r="B97" s="31"/>
      <c r="C97" s="31"/>
      <c r="D97" s="31"/>
      <c r="E97" s="31"/>
      <c r="F97" s="31"/>
      <c r="G97" s="31"/>
      <c r="H97" s="31"/>
      <c r="I97" s="31"/>
      <c r="J97" s="31"/>
      <c r="K97" s="31"/>
      <c r="L97" s="31"/>
      <c r="M97" s="31"/>
      <c r="N97" s="31"/>
      <c r="O97" s="31"/>
      <c r="P97" s="31"/>
      <c r="Q97" s="31"/>
      <c r="R97" s="31"/>
      <c r="S97" s="31"/>
      <c r="T97" s="31"/>
      <c r="U97" s="31"/>
    </row>
    <row r="98" spans="1:21">
      <c r="A98" s="31"/>
      <c r="B98" s="31"/>
      <c r="C98" s="31"/>
      <c r="D98" s="31"/>
      <c r="E98" s="31"/>
      <c r="F98" s="31"/>
      <c r="G98" s="31"/>
      <c r="H98" s="31"/>
      <c r="I98" s="31"/>
      <c r="J98" s="31"/>
      <c r="K98" s="31"/>
      <c r="L98" s="31"/>
      <c r="M98" s="31"/>
      <c r="N98" s="31"/>
      <c r="O98" s="31"/>
      <c r="P98" s="31"/>
      <c r="Q98" s="31"/>
      <c r="R98" s="31"/>
      <c r="S98" s="31"/>
      <c r="T98" s="31"/>
      <c r="U98" s="31"/>
    </row>
    <row r="99" spans="1:21">
      <c r="A99" s="31"/>
      <c r="B99" s="31"/>
      <c r="C99" s="31"/>
      <c r="D99" s="31"/>
      <c r="E99" s="31"/>
      <c r="F99" s="31"/>
      <c r="G99" s="31"/>
      <c r="H99" s="31"/>
      <c r="I99" s="31"/>
      <c r="J99" s="31"/>
      <c r="K99" s="31"/>
      <c r="L99" s="31"/>
      <c r="M99" s="31"/>
      <c r="N99" s="31"/>
      <c r="O99" s="31"/>
      <c r="P99" s="31"/>
      <c r="Q99" s="31"/>
      <c r="R99" s="31"/>
      <c r="S99" s="31"/>
      <c r="T99" s="31"/>
      <c r="U99" s="31"/>
    </row>
    <row r="100" spans="1:21">
      <c r="A100" s="31"/>
      <c r="B100" s="31"/>
      <c r="C100" s="31"/>
      <c r="D100" s="31"/>
      <c r="E100" s="31"/>
      <c r="F100" s="31"/>
      <c r="G100" s="31"/>
      <c r="H100" s="31"/>
      <c r="I100" s="31"/>
      <c r="J100" s="31"/>
      <c r="K100" s="31"/>
      <c r="L100" s="31"/>
      <c r="M100" s="31"/>
      <c r="N100" s="31"/>
      <c r="O100" s="31"/>
      <c r="P100" s="31"/>
      <c r="Q100" s="31"/>
      <c r="R100" s="31"/>
      <c r="S100" s="31"/>
      <c r="T100" s="31"/>
      <c r="U100" s="31"/>
    </row>
    <row r="101" spans="1:21">
      <c r="A101" s="31"/>
      <c r="B101" s="31"/>
      <c r="C101" s="31"/>
      <c r="D101" s="31"/>
      <c r="E101" s="31"/>
      <c r="F101" s="31"/>
      <c r="G101" s="31"/>
      <c r="H101" s="31"/>
      <c r="I101" s="31"/>
      <c r="J101" s="31"/>
      <c r="K101" s="31"/>
      <c r="L101" s="31"/>
      <c r="M101" s="31"/>
      <c r="N101" s="31"/>
      <c r="O101" s="31"/>
      <c r="P101" s="31"/>
      <c r="Q101" s="31"/>
      <c r="R101" s="31"/>
      <c r="S101" s="31"/>
      <c r="T101" s="31"/>
      <c r="U101" s="31"/>
    </row>
    <row r="102" spans="1:21">
      <c r="A102" s="31"/>
      <c r="B102" s="31"/>
      <c r="C102" s="31"/>
      <c r="D102" s="31"/>
      <c r="E102" s="31"/>
      <c r="F102" s="31"/>
      <c r="G102" s="31"/>
      <c r="H102" s="31"/>
      <c r="I102" s="31"/>
      <c r="J102" s="31"/>
      <c r="K102" s="31"/>
      <c r="L102" s="31"/>
      <c r="M102" s="31"/>
      <c r="N102" s="31"/>
      <c r="O102" s="31"/>
      <c r="P102" s="31"/>
      <c r="Q102" s="31"/>
      <c r="R102" s="31"/>
      <c r="S102" s="31"/>
      <c r="T102" s="31"/>
      <c r="U102" s="31"/>
    </row>
    <row r="103" spans="1:21">
      <c r="A103" s="31"/>
      <c r="B103" s="31"/>
      <c r="C103" s="31"/>
      <c r="D103" s="31"/>
      <c r="E103" s="31"/>
      <c r="F103" s="31"/>
      <c r="G103" s="31"/>
      <c r="H103" s="31"/>
      <c r="I103" s="31"/>
      <c r="J103" s="31"/>
      <c r="K103" s="31"/>
      <c r="L103" s="31"/>
      <c r="M103" s="31"/>
      <c r="N103" s="31"/>
      <c r="O103" s="31"/>
      <c r="P103" s="31"/>
      <c r="Q103" s="31"/>
      <c r="R103" s="31"/>
      <c r="S103" s="31"/>
      <c r="T103" s="31"/>
      <c r="U103" s="31"/>
    </row>
    <row r="104" spans="1:21">
      <c r="A104" s="31"/>
      <c r="B104" s="31"/>
      <c r="C104" s="31"/>
      <c r="D104" s="31"/>
      <c r="E104" s="31"/>
      <c r="F104" s="31"/>
      <c r="G104" s="31"/>
      <c r="H104" s="31"/>
      <c r="I104" s="31"/>
      <c r="J104" s="31"/>
      <c r="K104" s="31"/>
      <c r="L104" s="31"/>
      <c r="M104" s="31"/>
      <c r="N104" s="31"/>
      <c r="O104" s="31"/>
      <c r="P104" s="31"/>
      <c r="Q104" s="31"/>
      <c r="R104" s="31"/>
      <c r="S104" s="31"/>
      <c r="T104" s="31"/>
      <c r="U104" s="31"/>
    </row>
    <row r="105" spans="1:21">
      <c r="A105" s="31"/>
      <c r="B105" s="31"/>
      <c r="C105" s="31"/>
      <c r="D105" s="31"/>
      <c r="E105" s="31"/>
      <c r="F105" s="31"/>
      <c r="G105" s="31"/>
      <c r="H105" s="31"/>
      <c r="I105" s="31"/>
      <c r="J105" s="31"/>
      <c r="K105" s="31"/>
      <c r="L105" s="31"/>
      <c r="M105" s="31"/>
      <c r="N105" s="31"/>
      <c r="O105" s="31"/>
      <c r="P105" s="31"/>
      <c r="Q105" s="31"/>
      <c r="R105" s="31"/>
      <c r="S105" s="31"/>
      <c r="T105" s="31"/>
      <c r="U105" s="31"/>
    </row>
    <row r="106" spans="1:21">
      <c r="A106" s="31"/>
      <c r="B106" s="31"/>
      <c r="C106" s="31"/>
      <c r="D106" s="31"/>
      <c r="E106" s="31"/>
      <c r="F106" s="31"/>
      <c r="G106" s="31"/>
      <c r="H106" s="31"/>
      <c r="I106" s="31"/>
      <c r="J106" s="31"/>
      <c r="K106" s="31"/>
      <c r="L106" s="31"/>
      <c r="M106" s="31"/>
      <c r="N106" s="31"/>
      <c r="O106" s="31"/>
      <c r="P106" s="31"/>
      <c r="Q106" s="31"/>
      <c r="R106" s="31"/>
      <c r="S106" s="31"/>
      <c r="T106" s="31"/>
      <c r="U106" s="31"/>
    </row>
    <row r="107" spans="1:21">
      <c r="A107" s="31"/>
      <c r="B107" s="31"/>
      <c r="C107" s="31"/>
      <c r="D107" s="31"/>
      <c r="E107" s="31"/>
      <c r="F107" s="31"/>
      <c r="G107" s="31"/>
      <c r="H107" s="31"/>
      <c r="I107" s="31"/>
      <c r="J107" s="31"/>
      <c r="K107" s="31"/>
      <c r="L107" s="31"/>
      <c r="M107" s="31"/>
      <c r="N107" s="31"/>
      <c r="O107" s="31"/>
      <c r="P107" s="31"/>
      <c r="Q107" s="31"/>
      <c r="R107" s="31"/>
      <c r="S107" s="31"/>
      <c r="T107" s="31"/>
      <c r="U107" s="31"/>
    </row>
    <row r="108" spans="1:21">
      <c r="A108" s="31"/>
      <c r="B108" s="31"/>
      <c r="C108" s="31"/>
      <c r="D108" s="31"/>
      <c r="E108" s="31"/>
      <c r="F108" s="31"/>
      <c r="G108" s="31"/>
      <c r="H108" s="31"/>
      <c r="I108" s="31"/>
      <c r="J108" s="31"/>
      <c r="K108" s="31"/>
      <c r="L108" s="31"/>
      <c r="M108" s="31"/>
      <c r="N108" s="31"/>
      <c r="O108" s="31"/>
      <c r="P108" s="31"/>
      <c r="Q108" s="31"/>
      <c r="R108" s="31"/>
      <c r="S108" s="31"/>
      <c r="T108" s="31"/>
      <c r="U108" s="31"/>
    </row>
    <row r="109" spans="1:21">
      <c r="A109" s="31"/>
      <c r="B109" s="31"/>
      <c r="C109" s="31"/>
      <c r="D109" s="31"/>
      <c r="E109" s="31"/>
      <c r="F109" s="31"/>
      <c r="G109" s="31"/>
      <c r="H109" s="31"/>
      <c r="I109" s="31"/>
      <c r="J109" s="31"/>
      <c r="K109" s="31"/>
      <c r="L109" s="31"/>
      <c r="M109" s="31"/>
      <c r="N109" s="31"/>
      <c r="O109" s="31"/>
      <c r="P109" s="31"/>
      <c r="Q109" s="31"/>
      <c r="R109" s="31"/>
      <c r="S109" s="31"/>
      <c r="T109" s="31"/>
      <c r="U109" s="31"/>
    </row>
    <row r="110" spans="1:21">
      <c r="A110" s="31"/>
      <c r="B110" s="31"/>
      <c r="C110" s="31"/>
      <c r="D110" s="31"/>
      <c r="E110" s="31"/>
      <c r="F110" s="31"/>
      <c r="G110" s="31"/>
      <c r="H110" s="31"/>
      <c r="I110" s="31"/>
      <c r="J110" s="31"/>
      <c r="K110" s="31"/>
      <c r="L110" s="31"/>
      <c r="M110" s="31"/>
      <c r="N110" s="31"/>
      <c r="O110" s="31"/>
      <c r="P110" s="31"/>
      <c r="Q110" s="31"/>
      <c r="R110" s="31"/>
      <c r="S110" s="31"/>
      <c r="T110" s="31"/>
      <c r="U110" s="31"/>
    </row>
    <row r="111" spans="1:21">
      <c r="A111" s="31"/>
      <c r="B111" s="31"/>
      <c r="C111" s="31"/>
      <c r="D111" s="31"/>
      <c r="E111" s="31"/>
      <c r="F111" s="31"/>
      <c r="G111" s="31"/>
      <c r="H111" s="31"/>
      <c r="I111" s="31"/>
      <c r="J111" s="31"/>
      <c r="K111" s="31"/>
      <c r="L111" s="31"/>
      <c r="M111" s="31"/>
      <c r="N111" s="31"/>
      <c r="O111" s="31"/>
      <c r="P111" s="31"/>
      <c r="Q111" s="31"/>
      <c r="R111" s="31"/>
      <c r="S111" s="31"/>
      <c r="T111" s="31"/>
      <c r="U111" s="31"/>
    </row>
    <row r="112" spans="1:21">
      <c r="A112" s="31"/>
      <c r="B112" s="31"/>
      <c r="C112" s="31"/>
      <c r="D112" s="31"/>
      <c r="E112" s="31"/>
      <c r="F112" s="31"/>
      <c r="G112" s="31"/>
      <c r="H112" s="31"/>
      <c r="I112" s="31"/>
      <c r="J112" s="31"/>
      <c r="K112" s="31"/>
      <c r="L112" s="31"/>
      <c r="M112" s="31"/>
      <c r="N112" s="31"/>
      <c r="O112" s="31"/>
      <c r="P112" s="31"/>
      <c r="Q112" s="31"/>
      <c r="R112" s="31"/>
      <c r="S112" s="31"/>
      <c r="T112" s="31"/>
      <c r="U112" s="31"/>
    </row>
    <row r="113" spans="1:21">
      <c r="A113" s="31"/>
      <c r="B113" s="31"/>
      <c r="C113" s="31"/>
      <c r="D113" s="31"/>
      <c r="E113" s="31"/>
      <c r="F113" s="31"/>
      <c r="G113" s="31"/>
      <c r="H113" s="31"/>
      <c r="I113" s="31"/>
      <c r="J113" s="31"/>
      <c r="K113" s="31"/>
      <c r="L113" s="31"/>
      <c r="M113" s="31"/>
      <c r="N113" s="31"/>
      <c r="O113" s="31"/>
      <c r="P113" s="31"/>
      <c r="Q113" s="31"/>
      <c r="R113" s="31"/>
      <c r="S113" s="31"/>
      <c r="T113" s="31"/>
      <c r="U113" s="31"/>
    </row>
    <row r="114" spans="1:21">
      <c r="A114" s="31"/>
      <c r="B114" s="31"/>
      <c r="C114" s="31"/>
      <c r="D114" s="31"/>
      <c r="E114" s="31"/>
      <c r="F114" s="31"/>
      <c r="G114" s="31"/>
      <c r="H114" s="31"/>
      <c r="I114" s="31"/>
      <c r="J114" s="31"/>
      <c r="K114" s="31"/>
      <c r="L114" s="31"/>
      <c r="M114" s="31"/>
      <c r="N114" s="31"/>
      <c r="O114" s="31"/>
      <c r="P114" s="31"/>
      <c r="Q114" s="31"/>
      <c r="R114" s="31"/>
      <c r="S114" s="31"/>
      <c r="T114" s="31"/>
      <c r="U114" s="31"/>
    </row>
    <row r="115" spans="1:21">
      <c r="A115" s="31"/>
      <c r="B115" s="31"/>
      <c r="C115" s="31"/>
      <c r="D115" s="31"/>
      <c r="E115" s="31"/>
      <c r="F115" s="31"/>
      <c r="G115" s="31"/>
      <c r="H115" s="31"/>
      <c r="I115" s="31"/>
      <c r="J115" s="31"/>
      <c r="K115" s="31"/>
      <c r="L115" s="31"/>
      <c r="M115" s="31"/>
      <c r="N115" s="31"/>
      <c r="O115" s="31"/>
      <c r="P115" s="31"/>
      <c r="Q115" s="31"/>
      <c r="R115" s="31"/>
      <c r="S115" s="31"/>
      <c r="T115" s="31"/>
      <c r="U115" s="31"/>
    </row>
    <row r="116" spans="1:21">
      <c r="A116" s="31"/>
      <c r="B116" s="31"/>
      <c r="C116" s="31"/>
      <c r="D116" s="31"/>
      <c r="E116" s="31"/>
      <c r="F116" s="31"/>
      <c r="G116" s="31"/>
      <c r="H116" s="31"/>
      <c r="I116" s="31"/>
      <c r="J116" s="31"/>
      <c r="K116" s="31"/>
      <c r="L116" s="31"/>
      <c r="M116" s="31"/>
      <c r="N116" s="31"/>
      <c r="O116" s="31"/>
      <c r="P116" s="31"/>
      <c r="Q116" s="31"/>
      <c r="R116" s="31"/>
      <c r="S116" s="31"/>
      <c r="T116" s="31"/>
      <c r="U116" s="31"/>
    </row>
    <row r="117" spans="1:21">
      <c r="A117" s="31"/>
      <c r="B117" s="31"/>
      <c r="C117" s="31"/>
      <c r="D117" s="31"/>
      <c r="E117" s="31"/>
      <c r="F117" s="31"/>
      <c r="G117" s="31"/>
      <c r="H117" s="31"/>
      <c r="I117" s="31"/>
      <c r="J117" s="31"/>
      <c r="K117" s="31"/>
      <c r="L117" s="31"/>
      <c r="M117" s="31"/>
      <c r="N117" s="31"/>
      <c r="O117" s="31"/>
      <c r="P117" s="31"/>
      <c r="Q117" s="31"/>
      <c r="R117" s="31"/>
      <c r="S117" s="31"/>
      <c r="T117" s="31"/>
      <c r="U117" s="31"/>
    </row>
    <row r="118" spans="1:21">
      <c r="A118" s="31"/>
      <c r="B118" s="31"/>
      <c r="C118" s="31"/>
      <c r="D118" s="31"/>
      <c r="E118" s="31"/>
      <c r="F118" s="31"/>
      <c r="G118" s="31"/>
      <c r="H118" s="31"/>
      <c r="I118" s="31"/>
      <c r="J118" s="31"/>
      <c r="K118" s="31"/>
      <c r="L118" s="31"/>
      <c r="M118" s="31"/>
      <c r="N118" s="31"/>
      <c r="O118" s="31"/>
      <c r="P118" s="31"/>
      <c r="Q118" s="31"/>
      <c r="R118" s="31"/>
      <c r="S118" s="31"/>
      <c r="T118" s="31"/>
      <c r="U118" s="31"/>
    </row>
    <row r="119" spans="1:21">
      <c r="A119" s="31"/>
      <c r="B119" s="31"/>
      <c r="C119" s="31"/>
      <c r="D119" s="31"/>
      <c r="E119" s="31"/>
      <c r="F119" s="31"/>
      <c r="G119" s="31"/>
      <c r="H119" s="31"/>
      <c r="I119" s="31"/>
      <c r="J119" s="31"/>
      <c r="K119" s="31"/>
      <c r="L119" s="31"/>
      <c r="M119" s="31"/>
      <c r="N119" s="31"/>
      <c r="O119" s="31"/>
      <c r="P119" s="31"/>
      <c r="Q119" s="31"/>
      <c r="R119" s="31"/>
      <c r="S119" s="31"/>
      <c r="T119" s="31"/>
      <c r="U119" s="31"/>
    </row>
    <row r="120" spans="1:21">
      <c r="A120" s="31"/>
      <c r="B120" s="31"/>
      <c r="C120" s="31"/>
      <c r="D120" s="31"/>
      <c r="E120" s="31"/>
      <c r="F120" s="31"/>
      <c r="G120" s="31"/>
      <c r="H120" s="31"/>
      <c r="I120" s="31"/>
      <c r="J120" s="31"/>
      <c r="K120" s="31"/>
      <c r="L120" s="31"/>
      <c r="M120" s="31"/>
      <c r="N120" s="31"/>
      <c r="O120" s="31"/>
      <c r="P120" s="31"/>
      <c r="Q120" s="31"/>
      <c r="R120" s="31"/>
      <c r="S120" s="31"/>
      <c r="T120" s="31"/>
      <c r="U120" s="31"/>
    </row>
    <row r="121" spans="1:21">
      <c r="A121" s="31"/>
      <c r="B121" s="31"/>
      <c r="C121" s="31"/>
      <c r="D121" s="31"/>
      <c r="E121" s="31"/>
      <c r="F121" s="31"/>
      <c r="G121" s="31"/>
      <c r="H121" s="31"/>
      <c r="I121" s="31"/>
      <c r="J121" s="31"/>
      <c r="K121" s="31"/>
      <c r="L121" s="31"/>
      <c r="M121" s="31"/>
      <c r="N121" s="31"/>
      <c r="O121" s="31"/>
      <c r="P121" s="31"/>
      <c r="Q121" s="31"/>
      <c r="R121" s="31"/>
      <c r="S121" s="31"/>
      <c r="T121" s="31"/>
      <c r="U121" s="31"/>
    </row>
    <row r="122" spans="1:21">
      <c r="A122" s="31"/>
      <c r="B122" s="31"/>
      <c r="C122" s="31"/>
      <c r="D122" s="31"/>
      <c r="E122" s="31"/>
      <c r="F122" s="31"/>
      <c r="G122" s="31"/>
      <c r="H122" s="31"/>
      <c r="I122" s="31"/>
      <c r="J122" s="31"/>
      <c r="K122" s="31"/>
      <c r="L122" s="31"/>
      <c r="M122" s="31"/>
      <c r="N122" s="31"/>
      <c r="O122" s="31"/>
      <c r="P122" s="31"/>
      <c r="Q122" s="31"/>
      <c r="R122" s="31"/>
      <c r="S122" s="31"/>
      <c r="T122" s="31"/>
      <c r="U122" s="31"/>
    </row>
    <row r="123" spans="1:21">
      <c r="A123" s="31"/>
      <c r="B123" s="31"/>
      <c r="C123" s="31"/>
      <c r="D123" s="31"/>
      <c r="E123" s="31"/>
      <c r="F123" s="31"/>
      <c r="G123" s="31"/>
      <c r="H123" s="31"/>
      <c r="I123" s="31"/>
      <c r="J123" s="31"/>
      <c r="K123" s="31"/>
      <c r="L123" s="31"/>
      <c r="M123" s="31"/>
      <c r="N123" s="31"/>
      <c r="O123" s="31"/>
      <c r="P123" s="31"/>
      <c r="Q123" s="31"/>
      <c r="R123" s="31"/>
      <c r="S123" s="31"/>
      <c r="T123" s="31"/>
      <c r="U123" s="31"/>
    </row>
    <row r="124" spans="1:21">
      <c r="A124" s="31"/>
      <c r="B124" s="31"/>
      <c r="C124" s="31"/>
      <c r="D124" s="31"/>
      <c r="E124" s="31"/>
      <c r="F124" s="31"/>
      <c r="G124" s="31"/>
      <c r="H124" s="31"/>
      <c r="I124" s="31"/>
      <c r="J124" s="31"/>
      <c r="K124" s="31"/>
      <c r="L124" s="31"/>
      <c r="M124" s="31"/>
      <c r="N124" s="31"/>
      <c r="O124" s="31"/>
      <c r="P124" s="31"/>
      <c r="Q124" s="31"/>
      <c r="R124" s="31"/>
      <c r="S124" s="31"/>
      <c r="T124" s="31"/>
      <c r="U124" s="31"/>
    </row>
    <row r="125" spans="1:21">
      <c r="A125" s="31"/>
      <c r="B125" s="31"/>
      <c r="C125" s="31"/>
      <c r="D125" s="31"/>
      <c r="E125" s="31"/>
      <c r="F125" s="31"/>
      <c r="G125" s="31"/>
      <c r="H125" s="31"/>
      <c r="I125" s="31"/>
      <c r="J125" s="31"/>
      <c r="K125" s="31"/>
      <c r="L125" s="31"/>
      <c r="M125" s="31"/>
      <c r="N125" s="31"/>
      <c r="O125" s="31"/>
      <c r="P125" s="31"/>
      <c r="Q125" s="31"/>
      <c r="R125" s="31"/>
      <c r="S125" s="31"/>
      <c r="T125" s="31"/>
      <c r="U125" s="31"/>
    </row>
    <row r="126" spans="1:21">
      <c r="A126" s="31"/>
      <c r="B126" s="31"/>
      <c r="C126" s="31"/>
      <c r="D126" s="31"/>
      <c r="E126" s="31"/>
      <c r="F126" s="31"/>
      <c r="G126" s="31"/>
      <c r="H126" s="31"/>
      <c r="I126" s="31"/>
      <c r="J126" s="31"/>
      <c r="K126" s="31"/>
      <c r="L126" s="31"/>
      <c r="M126" s="31"/>
      <c r="N126" s="31"/>
      <c r="O126" s="31"/>
      <c r="P126" s="31"/>
      <c r="Q126" s="31"/>
      <c r="R126" s="31"/>
      <c r="S126" s="31"/>
      <c r="T126" s="31"/>
      <c r="U126" s="31"/>
    </row>
    <row r="127" spans="1:21">
      <c r="A127" s="31"/>
      <c r="B127" s="31"/>
      <c r="C127" s="31"/>
      <c r="D127" s="31"/>
      <c r="E127" s="31"/>
      <c r="F127" s="31"/>
      <c r="G127" s="31"/>
      <c r="H127" s="31"/>
      <c r="I127" s="31"/>
      <c r="J127" s="31"/>
      <c r="K127" s="31"/>
      <c r="L127" s="31"/>
      <c r="M127" s="31"/>
      <c r="N127" s="31"/>
      <c r="O127" s="31"/>
      <c r="P127" s="31"/>
      <c r="Q127" s="31"/>
      <c r="R127" s="31"/>
      <c r="S127" s="31"/>
      <c r="T127" s="31"/>
      <c r="U127" s="31"/>
    </row>
    <row r="128" spans="1:21">
      <c r="A128" s="31"/>
      <c r="B128" s="31"/>
      <c r="C128" s="31"/>
      <c r="D128" s="31"/>
      <c r="E128" s="31"/>
      <c r="F128" s="31"/>
      <c r="G128" s="31"/>
      <c r="H128" s="31"/>
      <c r="I128" s="31"/>
      <c r="J128" s="31"/>
      <c r="K128" s="31"/>
      <c r="L128" s="31"/>
      <c r="M128" s="31"/>
      <c r="N128" s="31"/>
      <c r="O128" s="31"/>
      <c r="P128" s="31"/>
      <c r="Q128" s="31"/>
      <c r="R128" s="31"/>
      <c r="S128" s="31"/>
      <c r="T128" s="31"/>
      <c r="U128" s="31"/>
    </row>
    <row r="129" spans="1:21">
      <c r="A129" s="31"/>
      <c r="B129" s="31"/>
      <c r="C129" s="31"/>
      <c r="D129" s="31"/>
      <c r="E129" s="31"/>
      <c r="F129" s="31"/>
      <c r="G129" s="31"/>
      <c r="H129" s="31"/>
      <c r="I129" s="31"/>
      <c r="J129" s="31"/>
      <c r="K129" s="31"/>
      <c r="L129" s="31"/>
      <c r="M129" s="31"/>
      <c r="N129" s="31"/>
      <c r="O129" s="31"/>
      <c r="P129" s="31"/>
      <c r="Q129" s="31"/>
      <c r="R129" s="31"/>
      <c r="S129" s="31"/>
      <c r="T129" s="31"/>
      <c r="U129" s="31"/>
    </row>
    <row r="130" spans="1:21">
      <c r="A130" s="31"/>
      <c r="B130" s="31"/>
      <c r="C130" s="31"/>
      <c r="D130" s="31"/>
      <c r="E130" s="31"/>
      <c r="F130" s="31"/>
      <c r="G130" s="31"/>
      <c r="H130" s="31"/>
      <c r="I130" s="31"/>
      <c r="J130" s="31"/>
      <c r="K130" s="31"/>
      <c r="L130" s="31"/>
      <c r="M130" s="31"/>
      <c r="N130" s="31"/>
      <c r="O130" s="31"/>
      <c r="P130" s="31"/>
      <c r="Q130" s="31"/>
      <c r="R130" s="31"/>
      <c r="S130" s="31"/>
      <c r="T130" s="31"/>
      <c r="U130" s="31"/>
    </row>
    <row r="131" spans="1:21">
      <c r="A131" s="31"/>
      <c r="B131" s="31"/>
      <c r="C131" s="31"/>
      <c r="D131" s="31"/>
      <c r="E131" s="31"/>
      <c r="F131" s="31"/>
      <c r="G131" s="31"/>
      <c r="H131" s="31"/>
      <c r="I131" s="31"/>
      <c r="J131" s="31"/>
      <c r="K131" s="31"/>
      <c r="L131" s="31"/>
      <c r="M131" s="31"/>
      <c r="N131" s="31"/>
      <c r="O131" s="31"/>
      <c r="P131" s="31"/>
      <c r="Q131" s="31"/>
      <c r="R131" s="31"/>
      <c r="S131" s="31"/>
      <c r="T131" s="31"/>
      <c r="U131" s="31"/>
    </row>
    <row r="132" spans="1:21">
      <c r="A132" s="31"/>
      <c r="B132" s="31"/>
      <c r="C132" s="31"/>
      <c r="D132" s="31"/>
      <c r="E132" s="31"/>
      <c r="F132" s="31"/>
      <c r="G132" s="31"/>
      <c r="H132" s="31"/>
      <c r="I132" s="31"/>
      <c r="J132" s="31"/>
      <c r="K132" s="31"/>
      <c r="L132" s="31"/>
      <c r="M132" s="31"/>
      <c r="N132" s="31"/>
      <c r="O132" s="31"/>
      <c r="P132" s="31"/>
      <c r="Q132" s="31"/>
      <c r="R132" s="31"/>
      <c r="S132" s="31"/>
      <c r="T132" s="31"/>
      <c r="U132" s="31"/>
    </row>
    <row r="133" spans="1:21">
      <c r="A133" s="31"/>
      <c r="B133" s="31"/>
      <c r="C133" s="31"/>
      <c r="D133" s="31"/>
      <c r="E133" s="31"/>
      <c r="F133" s="31"/>
      <c r="G133" s="31"/>
      <c r="H133" s="31"/>
      <c r="I133" s="31"/>
      <c r="J133" s="31"/>
      <c r="K133" s="31"/>
      <c r="L133" s="31"/>
      <c r="M133" s="31"/>
      <c r="N133" s="31"/>
      <c r="O133" s="31"/>
      <c r="P133" s="31"/>
      <c r="Q133" s="31"/>
      <c r="R133" s="31"/>
      <c r="S133" s="31"/>
      <c r="T133" s="31"/>
      <c r="U133" s="31"/>
    </row>
    <row r="134" spans="1:21">
      <c r="A134" s="31"/>
      <c r="B134" s="31"/>
      <c r="C134" s="31"/>
      <c r="D134" s="31"/>
      <c r="E134" s="31"/>
      <c r="F134" s="31"/>
      <c r="G134" s="31"/>
      <c r="H134" s="31"/>
      <c r="I134" s="31"/>
      <c r="J134" s="31"/>
      <c r="K134" s="31"/>
      <c r="L134" s="31"/>
      <c r="M134" s="31"/>
      <c r="N134" s="31"/>
      <c r="O134" s="31"/>
      <c r="P134" s="31"/>
      <c r="Q134" s="31"/>
      <c r="R134" s="31"/>
      <c r="S134" s="31"/>
      <c r="T134" s="31"/>
      <c r="U134" s="31"/>
    </row>
    <row r="135" spans="1:21">
      <c r="A135" s="31"/>
      <c r="B135" s="31"/>
      <c r="C135" s="31"/>
      <c r="D135" s="31"/>
      <c r="E135" s="31"/>
      <c r="F135" s="31"/>
      <c r="G135" s="31"/>
      <c r="H135" s="31"/>
      <c r="I135" s="31"/>
      <c r="J135" s="31"/>
      <c r="K135" s="31"/>
      <c r="L135" s="31"/>
      <c r="M135" s="31"/>
      <c r="N135" s="31"/>
      <c r="O135" s="31"/>
      <c r="P135" s="31"/>
      <c r="Q135" s="31"/>
      <c r="R135" s="31"/>
      <c r="S135" s="31"/>
      <c r="T135" s="31"/>
      <c r="U135" s="31"/>
    </row>
    <row r="136" spans="1:21">
      <c r="A136" s="31"/>
      <c r="B136" s="31"/>
      <c r="C136" s="31"/>
      <c r="D136" s="31"/>
      <c r="E136" s="31"/>
      <c r="F136" s="31"/>
      <c r="G136" s="31"/>
      <c r="H136" s="31"/>
      <c r="I136" s="31"/>
      <c r="J136" s="31"/>
      <c r="K136" s="31"/>
      <c r="L136" s="31"/>
      <c r="M136" s="31"/>
      <c r="N136" s="31"/>
      <c r="O136" s="31"/>
      <c r="P136" s="31"/>
      <c r="Q136" s="31"/>
      <c r="R136" s="31"/>
      <c r="S136" s="31"/>
      <c r="T136" s="31"/>
      <c r="U136" s="31"/>
    </row>
    <row r="137" spans="1:21">
      <c r="A137" s="31"/>
      <c r="B137" s="31"/>
      <c r="C137" s="31"/>
      <c r="D137" s="31"/>
      <c r="E137" s="31"/>
      <c r="F137" s="31"/>
      <c r="G137" s="31"/>
      <c r="H137" s="31"/>
      <c r="I137" s="31"/>
      <c r="J137" s="31"/>
      <c r="K137" s="31"/>
      <c r="L137" s="31"/>
      <c r="M137" s="31"/>
      <c r="N137" s="31"/>
      <c r="O137" s="31"/>
      <c r="P137" s="31"/>
      <c r="Q137" s="31"/>
      <c r="R137" s="31"/>
      <c r="S137" s="31"/>
      <c r="T137" s="31"/>
      <c r="U137" s="31"/>
    </row>
    <row r="138" spans="1:21">
      <c r="A138" s="31"/>
      <c r="B138" s="31"/>
      <c r="C138" s="31"/>
      <c r="D138" s="31"/>
      <c r="E138" s="31"/>
      <c r="F138" s="31"/>
      <c r="G138" s="31"/>
      <c r="H138" s="31"/>
      <c r="I138" s="31"/>
      <c r="J138" s="31"/>
      <c r="K138" s="31"/>
      <c r="L138" s="31"/>
      <c r="M138" s="31"/>
      <c r="N138" s="31"/>
      <c r="O138" s="31"/>
      <c r="P138" s="31"/>
      <c r="Q138" s="31"/>
      <c r="R138" s="31"/>
      <c r="S138" s="31"/>
      <c r="T138" s="31"/>
      <c r="U138" s="31"/>
    </row>
    <row r="139" spans="1:21">
      <c r="A139" s="31"/>
      <c r="B139" s="31"/>
      <c r="C139" s="31"/>
      <c r="D139" s="31"/>
      <c r="E139" s="31"/>
      <c r="F139" s="31"/>
      <c r="G139" s="31"/>
      <c r="H139" s="31"/>
      <c r="I139" s="31"/>
      <c r="J139" s="31"/>
      <c r="K139" s="31"/>
      <c r="L139" s="31"/>
      <c r="M139" s="31"/>
      <c r="N139" s="31"/>
      <c r="O139" s="31"/>
      <c r="P139" s="31"/>
      <c r="Q139" s="31"/>
      <c r="R139" s="31"/>
      <c r="S139" s="31"/>
      <c r="T139" s="31"/>
      <c r="U139" s="31"/>
    </row>
    <row r="140" spans="1:21">
      <c r="A140" s="31"/>
      <c r="B140" s="31"/>
      <c r="C140" s="31"/>
      <c r="D140" s="31"/>
      <c r="E140" s="31"/>
      <c r="F140" s="31"/>
      <c r="G140" s="31"/>
      <c r="H140" s="31"/>
      <c r="I140" s="31"/>
      <c r="J140" s="31"/>
      <c r="K140" s="31"/>
      <c r="L140" s="31"/>
      <c r="M140" s="31"/>
      <c r="N140" s="31"/>
      <c r="O140" s="31"/>
      <c r="P140" s="31"/>
      <c r="Q140" s="31"/>
      <c r="R140" s="31"/>
      <c r="S140" s="31"/>
      <c r="T140" s="31"/>
      <c r="U140" s="31"/>
    </row>
    <row r="141" spans="1:21">
      <c r="A141" s="31"/>
      <c r="B141" s="31"/>
      <c r="C141" s="31"/>
      <c r="D141" s="31"/>
      <c r="E141" s="31"/>
      <c r="F141" s="31"/>
      <c r="G141" s="31"/>
      <c r="H141" s="31"/>
      <c r="I141" s="31"/>
      <c r="J141" s="31"/>
      <c r="K141" s="31"/>
      <c r="L141" s="31"/>
      <c r="M141" s="31"/>
      <c r="N141" s="31"/>
      <c r="O141" s="31"/>
      <c r="P141" s="31"/>
      <c r="Q141" s="31"/>
      <c r="R141" s="31"/>
      <c r="S141" s="31"/>
      <c r="T141" s="31"/>
      <c r="U141" s="31"/>
    </row>
    <row r="142" spans="1:21">
      <c r="A142" s="31"/>
      <c r="B142" s="31"/>
      <c r="C142" s="31"/>
      <c r="D142" s="31"/>
      <c r="E142" s="31"/>
      <c r="F142" s="31"/>
      <c r="G142" s="31"/>
      <c r="H142" s="31"/>
      <c r="I142" s="31"/>
      <c r="J142" s="31"/>
      <c r="K142" s="31"/>
      <c r="L142" s="31"/>
      <c r="M142" s="31"/>
      <c r="N142" s="31"/>
      <c r="O142" s="31"/>
      <c r="P142" s="31"/>
      <c r="Q142" s="31"/>
      <c r="R142" s="31"/>
      <c r="S142" s="31"/>
      <c r="T142" s="31"/>
      <c r="U142" s="31"/>
    </row>
    <row r="143" spans="1:21">
      <c r="A143" s="31"/>
      <c r="B143" s="31"/>
      <c r="C143" s="31"/>
      <c r="D143" s="31"/>
      <c r="E143" s="31"/>
      <c r="F143" s="31"/>
      <c r="G143" s="31"/>
      <c r="H143" s="31"/>
      <c r="I143" s="31"/>
      <c r="J143" s="31"/>
      <c r="K143" s="31"/>
      <c r="L143" s="31"/>
      <c r="M143" s="31"/>
      <c r="N143" s="31"/>
      <c r="O143" s="31"/>
      <c r="P143" s="31"/>
      <c r="Q143" s="31"/>
      <c r="R143" s="31"/>
      <c r="S143" s="31"/>
      <c r="T143" s="31"/>
      <c r="U143" s="31"/>
    </row>
    <row r="144" spans="1:21">
      <c r="A144" s="31"/>
      <c r="B144" s="31"/>
      <c r="C144" s="31"/>
      <c r="D144" s="31"/>
      <c r="E144" s="31"/>
      <c r="F144" s="31"/>
      <c r="G144" s="31"/>
      <c r="H144" s="31"/>
      <c r="I144" s="31"/>
      <c r="J144" s="31"/>
      <c r="K144" s="31"/>
      <c r="L144" s="31"/>
      <c r="M144" s="31"/>
      <c r="N144" s="31"/>
      <c r="O144" s="31"/>
      <c r="P144" s="31"/>
      <c r="Q144" s="31"/>
      <c r="R144" s="31"/>
      <c r="S144" s="31"/>
      <c r="T144" s="31"/>
      <c r="U144" s="31"/>
    </row>
    <row r="145" spans="1:21">
      <c r="A145" s="31"/>
      <c r="B145" s="31"/>
      <c r="C145" s="31"/>
      <c r="D145" s="31"/>
      <c r="E145" s="31"/>
      <c r="F145" s="31"/>
      <c r="G145" s="31"/>
      <c r="H145" s="31"/>
      <c r="I145" s="31"/>
      <c r="J145" s="31"/>
      <c r="K145" s="31"/>
      <c r="L145" s="31"/>
      <c r="M145" s="31"/>
      <c r="N145" s="31"/>
      <c r="O145" s="31"/>
      <c r="P145" s="31"/>
      <c r="Q145" s="31"/>
      <c r="R145" s="31"/>
      <c r="S145" s="31"/>
      <c r="T145" s="31"/>
      <c r="U145" s="31"/>
    </row>
    <row r="146" spans="1:21">
      <c r="A146" s="31"/>
      <c r="B146" s="31"/>
      <c r="C146" s="31"/>
      <c r="D146" s="31"/>
      <c r="E146" s="31"/>
      <c r="F146" s="31"/>
      <c r="G146" s="31"/>
      <c r="H146" s="31"/>
      <c r="I146" s="31"/>
      <c r="J146" s="31"/>
      <c r="K146" s="31"/>
      <c r="L146" s="31"/>
      <c r="M146" s="31"/>
      <c r="N146" s="31"/>
      <c r="O146" s="31"/>
      <c r="P146" s="31"/>
      <c r="Q146" s="31"/>
      <c r="R146" s="31"/>
      <c r="S146" s="31"/>
      <c r="T146" s="31"/>
      <c r="U146" s="31"/>
    </row>
    <row r="147" spans="1:21">
      <c r="A147" s="31"/>
      <c r="B147" s="31"/>
      <c r="C147" s="31"/>
      <c r="D147" s="31"/>
      <c r="E147" s="31"/>
      <c r="F147" s="31"/>
      <c r="G147" s="31"/>
      <c r="H147" s="31"/>
      <c r="I147" s="31"/>
      <c r="J147" s="31"/>
      <c r="K147" s="31"/>
      <c r="L147" s="31"/>
      <c r="M147" s="31"/>
      <c r="N147" s="31"/>
      <c r="O147" s="31"/>
      <c r="P147" s="31"/>
      <c r="Q147" s="31"/>
      <c r="R147" s="31"/>
      <c r="S147" s="31"/>
      <c r="T147" s="31"/>
      <c r="U147" s="31"/>
    </row>
    <row r="148" spans="1:21">
      <c r="A148" s="31"/>
      <c r="B148" s="31"/>
      <c r="C148" s="31"/>
      <c r="D148" s="31"/>
      <c r="E148" s="31"/>
      <c r="F148" s="31"/>
      <c r="G148" s="31"/>
      <c r="H148" s="31"/>
      <c r="I148" s="31"/>
      <c r="J148" s="31"/>
      <c r="K148" s="31"/>
      <c r="L148" s="31"/>
      <c r="M148" s="31"/>
      <c r="N148" s="31"/>
      <c r="O148" s="31"/>
      <c r="P148" s="31"/>
      <c r="Q148" s="31"/>
      <c r="R148" s="31"/>
      <c r="S148" s="31"/>
      <c r="T148" s="31"/>
      <c r="U148" s="31"/>
    </row>
    <row r="149" spans="1:21">
      <c r="A149" s="31"/>
      <c r="B149" s="31"/>
      <c r="C149" s="31"/>
      <c r="D149" s="31"/>
      <c r="E149" s="31"/>
      <c r="F149" s="31"/>
      <c r="G149" s="31"/>
      <c r="H149" s="31"/>
      <c r="I149" s="31"/>
      <c r="J149" s="31"/>
      <c r="K149" s="31"/>
      <c r="L149" s="31"/>
      <c r="M149" s="31"/>
      <c r="N149" s="31"/>
      <c r="O149" s="31"/>
      <c r="P149" s="31"/>
      <c r="Q149" s="31"/>
      <c r="R149" s="31"/>
      <c r="S149" s="31"/>
      <c r="T149" s="31"/>
      <c r="U149" s="31"/>
    </row>
    <row r="150" spans="1:21">
      <c r="A150" s="31"/>
      <c r="B150" s="31"/>
      <c r="C150" s="31"/>
      <c r="D150" s="31"/>
      <c r="E150" s="31"/>
      <c r="F150" s="31"/>
      <c r="G150" s="31"/>
      <c r="H150" s="31"/>
      <c r="I150" s="31"/>
      <c r="J150" s="31"/>
      <c r="K150" s="31"/>
      <c r="L150" s="31"/>
      <c r="M150" s="31"/>
      <c r="N150" s="31"/>
      <c r="O150" s="31"/>
      <c r="P150" s="31"/>
      <c r="Q150" s="31"/>
      <c r="R150" s="31"/>
      <c r="S150" s="31"/>
      <c r="T150" s="31"/>
      <c r="U150" s="31"/>
    </row>
    <row r="151" spans="1:21">
      <c r="A151" s="31"/>
      <c r="B151" s="31"/>
      <c r="C151" s="31"/>
      <c r="D151" s="31"/>
      <c r="E151" s="31"/>
      <c r="F151" s="31"/>
      <c r="G151" s="31"/>
      <c r="H151" s="31"/>
      <c r="I151" s="31"/>
      <c r="J151" s="31"/>
      <c r="K151" s="31"/>
      <c r="L151" s="31"/>
      <c r="M151" s="31"/>
      <c r="N151" s="31"/>
      <c r="O151" s="31"/>
      <c r="P151" s="31"/>
      <c r="Q151" s="31"/>
      <c r="R151" s="31"/>
      <c r="S151" s="31"/>
      <c r="T151" s="31"/>
      <c r="U151" s="31"/>
    </row>
    <row r="152" spans="1:21">
      <c r="A152" s="31"/>
      <c r="B152" s="31"/>
      <c r="C152" s="31"/>
      <c r="D152" s="31"/>
      <c r="E152" s="31"/>
      <c r="F152" s="31"/>
      <c r="G152" s="31"/>
      <c r="H152" s="31"/>
      <c r="I152" s="31"/>
      <c r="J152" s="31"/>
      <c r="K152" s="31"/>
      <c r="L152" s="31"/>
      <c r="M152" s="31"/>
      <c r="N152" s="31"/>
      <c r="O152" s="31"/>
      <c r="P152" s="31"/>
      <c r="Q152" s="31"/>
      <c r="R152" s="31"/>
      <c r="S152" s="31"/>
      <c r="T152" s="31"/>
      <c r="U152" s="31"/>
    </row>
    <row r="153" spans="1:21">
      <c r="A153" s="31"/>
      <c r="B153" s="31"/>
      <c r="C153" s="31"/>
      <c r="D153" s="31"/>
      <c r="E153" s="31"/>
      <c r="F153" s="31"/>
      <c r="G153" s="31"/>
      <c r="H153" s="31"/>
      <c r="I153" s="31"/>
      <c r="J153" s="31"/>
      <c r="K153" s="31"/>
      <c r="L153" s="31"/>
      <c r="M153" s="31"/>
      <c r="N153" s="31"/>
      <c r="O153" s="31"/>
      <c r="P153" s="31"/>
      <c r="Q153" s="31"/>
      <c r="R153" s="31"/>
      <c r="S153" s="31"/>
      <c r="T153" s="31"/>
      <c r="U153" s="31"/>
    </row>
    <row r="154" spans="1:21">
      <c r="A154" s="31"/>
      <c r="B154" s="31"/>
      <c r="C154" s="31"/>
      <c r="D154" s="31"/>
      <c r="E154" s="31"/>
      <c r="F154" s="31"/>
      <c r="G154" s="31"/>
      <c r="H154" s="31"/>
      <c r="I154" s="31"/>
      <c r="J154" s="31"/>
      <c r="K154" s="31"/>
      <c r="L154" s="31"/>
      <c r="M154" s="31"/>
      <c r="N154" s="31"/>
      <c r="O154" s="31"/>
      <c r="P154" s="31"/>
      <c r="Q154" s="31"/>
      <c r="R154" s="31"/>
      <c r="S154" s="31"/>
      <c r="T154" s="31"/>
      <c r="U154" s="31"/>
    </row>
    <row r="155" spans="1:21">
      <c r="A155" s="31"/>
      <c r="B155" s="31"/>
      <c r="C155" s="31"/>
      <c r="D155" s="31"/>
      <c r="E155" s="31"/>
      <c r="F155" s="31"/>
      <c r="G155" s="31"/>
      <c r="H155" s="31"/>
      <c r="I155" s="31"/>
      <c r="J155" s="31"/>
      <c r="K155" s="31"/>
      <c r="L155" s="31"/>
      <c r="M155" s="31"/>
      <c r="N155" s="31"/>
      <c r="O155" s="31"/>
      <c r="P155" s="31"/>
      <c r="Q155" s="31"/>
      <c r="R155" s="31"/>
      <c r="S155" s="31"/>
      <c r="T155" s="31"/>
      <c r="U155" s="31"/>
    </row>
    <row r="156" spans="1:21">
      <c r="A156" s="31"/>
      <c r="B156" s="31"/>
      <c r="C156" s="31"/>
      <c r="D156" s="31"/>
      <c r="E156" s="31"/>
      <c r="F156" s="31"/>
      <c r="G156" s="31"/>
      <c r="H156" s="31"/>
      <c r="I156" s="31"/>
      <c r="J156" s="31"/>
      <c r="K156" s="31"/>
      <c r="L156" s="31"/>
      <c r="M156" s="31"/>
      <c r="N156" s="31"/>
      <c r="O156" s="31"/>
      <c r="P156" s="31"/>
      <c r="Q156" s="31"/>
      <c r="R156" s="31"/>
      <c r="S156" s="31"/>
      <c r="T156" s="31"/>
      <c r="U156" s="31"/>
    </row>
    <row r="157" spans="1:21">
      <c r="A157" s="31"/>
      <c r="B157" s="31"/>
      <c r="C157" s="31"/>
      <c r="D157" s="31"/>
      <c r="E157" s="31"/>
      <c r="F157" s="31"/>
      <c r="G157" s="31"/>
      <c r="H157" s="31"/>
      <c r="I157" s="31"/>
      <c r="J157" s="31"/>
      <c r="K157" s="31"/>
      <c r="L157" s="31"/>
      <c r="M157" s="31"/>
      <c r="N157" s="31"/>
      <c r="O157" s="31"/>
      <c r="P157" s="31"/>
      <c r="Q157" s="31"/>
      <c r="R157" s="31"/>
      <c r="S157" s="31"/>
      <c r="T157" s="31"/>
      <c r="U157" s="31"/>
    </row>
    <row r="158" spans="1:21">
      <c r="A158" s="31"/>
      <c r="B158" s="31"/>
      <c r="C158" s="31"/>
      <c r="D158" s="31"/>
      <c r="E158" s="31"/>
      <c r="F158" s="31"/>
      <c r="G158" s="31"/>
      <c r="H158" s="31"/>
      <c r="I158" s="31"/>
      <c r="J158" s="31"/>
      <c r="K158" s="31"/>
      <c r="L158" s="31"/>
      <c r="M158" s="31"/>
      <c r="N158" s="31"/>
      <c r="O158" s="31"/>
      <c r="P158" s="31"/>
      <c r="Q158" s="31"/>
      <c r="R158" s="31"/>
      <c r="S158" s="31"/>
      <c r="T158" s="31"/>
      <c r="U158" s="31"/>
    </row>
    <row r="159" spans="1:21">
      <c r="A159" s="31"/>
      <c r="B159" s="31"/>
      <c r="C159" s="31"/>
      <c r="D159" s="31"/>
      <c r="E159" s="31"/>
      <c r="F159" s="31"/>
      <c r="G159" s="31"/>
      <c r="H159" s="31"/>
      <c r="I159" s="31"/>
      <c r="J159" s="31"/>
      <c r="K159" s="31"/>
      <c r="L159" s="31"/>
      <c r="M159" s="31"/>
      <c r="N159" s="31"/>
      <c r="O159" s="31"/>
      <c r="P159" s="31"/>
      <c r="Q159" s="31"/>
      <c r="R159" s="31"/>
      <c r="S159" s="31"/>
      <c r="T159" s="31"/>
      <c r="U159" s="31"/>
    </row>
    <row r="160" spans="1:21">
      <c r="A160" s="31"/>
      <c r="B160" s="31"/>
      <c r="C160" s="31"/>
      <c r="D160" s="31"/>
      <c r="E160" s="31"/>
      <c r="F160" s="31"/>
      <c r="G160" s="31"/>
      <c r="H160" s="31"/>
      <c r="I160" s="31"/>
      <c r="J160" s="31"/>
      <c r="K160" s="31"/>
      <c r="L160" s="31"/>
      <c r="M160" s="31"/>
      <c r="N160" s="31"/>
      <c r="O160" s="31"/>
      <c r="P160" s="31"/>
      <c r="Q160" s="31"/>
      <c r="R160" s="31"/>
      <c r="S160" s="31"/>
      <c r="T160" s="31"/>
      <c r="U160" s="31"/>
    </row>
    <row r="161" spans="1:21">
      <c r="A161" s="31"/>
      <c r="B161" s="31"/>
      <c r="C161" s="31"/>
      <c r="D161" s="31"/>
      <c r="E161" s="31"/>
      <c r="F161" s="31"/>
      <c r="G161" s="31"/>
      <c r="H161" s="31"/>
      <c r="I161" s="31"/>
      <c r="J161" s="31"/>
      <c r="K161" s="31"/>
      <c r="L161" s="31"/>
      <c r="M161" s="31"/>
      <c r="N161" s="31"/>
      <c r="O161" s="31"/>
      <c r="P161" s="31"/>
      <c r="Q161" s="31"/>
      <c r="R161" s="31"/>
      <c r="S161" s="31"/>
      <c r="T161" s="31"/>
      <c r="U161" s="31"/>
    </row>
    <row r="162" spans="1:21">
      <c r="A162" s="31"/>
      <c r="B162" s="31"/>
      <c r="C162" s="31"/>
      <c r="D162" s="31"/>
      <c r="E162" s="31"/>
      <c r="F162" s="31"/>
      <c r="G162" s="31"/>
      <c r="H162" s="31"/>
      <c r="I162" s="31"/>
      <c r="J162" s="31"/>
      <c r="K162" s="31"/>
      <c r="L162" s="31"/>
      <c r="M162" s="31"/>
      <c r="N162" s="31"/>
      <c r="O162" s="31"/>
      <c r="P162" s="31"/>
      <c r="Q162" s="31"/>
      <c r="R162" s="31"/>
      <c r="S162" s="31"/>
      <c r="T162" s="31"/>
      <c r="U162" s="31"/>
    </row>
    <row r="163" spans="1:21">
      <c r="A163" s="31"/>
      <c r="B163" s="31"/>
      <c r="C163" s="31"/>
      <c r="D163" s="31"/>
      <c r="E163" s="31"/>
      <c r="F163" s="31"/>
      <c r="G163" s="31"/>
      <c r="H163" s="31"/>
      <c r="I163" s="31"/>
      <c r="J163" s="31"/>
      <c r="K163" s="31"/>
      <c r="L163" s="31"/>
      <c r="M163" s="31"/>
      <c r="N163" s="31"/>
      <c r="O163" s="31"/>
      <c r="P163" s="31"/>
      <c r="Q163" s="31"/>
      <c r="R163" s="31"/>
      <c r="S163" s="31"/>
      <c r="T163" s="31"/>
      <c r="U163" s="31"/>
    </row>
    <row r="164" spans="1:21">
      <c r="A164" s="31"/>
      <c r="B164" s="31"/>
      <c r="C164" s="31"/>
      <c r="D164" s="31"/>
      <c r="E164" s="31"/>
      <c r="F164" s="31"/>
      <c r="G164" s="31"/>
      <c r="H164" s="31"/>
      <c r="I164" s="31"/>
      <c r="J164" s="31"/>
      <c r="K164" s="31"/>
      <c r="L164" s="31"/>
      <c r="M164" s="31"/>
      <c r="N164" s="31"/>
      <c r="O164" s="31"/>
      <c r="P164" s="31"/>
      <c r="Q164" s="31"/>
      <c r="R164" s="31"/>
      <c r="S164" s="31"/>
      <c r="T164" s="31"/>
      <c r="U164" s="31"/>
    </row>
    <row r="165" spans="1:21">
      <c r="A165" s="31"/>
      <c r="B165" s="31"/>
      <c r="C165" s="31"/>
      <c r="D165" s="31"/>
      <c r="E165" s="31"/>
      <c r="F165" s="31"/>
      <c r="G165" s="31"/>
      <c r="H165" s="31"/>
      <c r="I165" s="31"/>
      <c r="J165" s="31"/>
      <c r="K165" s="31"/>
      <c r="L165" s="31"/>
      <c r="M165" s="31"/>
      <c r="N165" s="31"/>
      <c r="O165" s="31"/>
      <c r="P165" s="31"/>
      <c r="Q165" s="31"/>
      <c r="R165" s="31"/>
      <c r="S165" s="31"/>
      <c r="T165" s="31"/>
      <c r="U165" s="31"/>
    </row>
    <row r="166" spans="1:21">
      <c r="A166" s="31"/>
      <c r="B166" s="31"/>
      <c r="C166" s="31"/>
      <c r="D166" s="31"/>
      <c r="E166" s="31"/>
      <c r="F166" s="31"/>
      <c r="G166" s="31"/>
      <c r="H166" s="31"/>
      <c r="I166" s="31"/>
      <c r="J166" s="31"/>
      <c r="K166" s="31"/>
      <c r="L166" s="31"/>
      <c r="M166" s="31"/>
      <c r="N166" s="31"/>
      <c r="O166" s="31"/>
      <c r="P166" s="31"/>
      <c r="Q166" s="31"/>
      <c r="R166" s="31"/>
      <c r="S166" s="31"/>
      <c r="T166" s="31"/>
      <c r="U166" s="31"/>
    </row>
    <row r="167" spans="1:21">
      <c r="A167" s="31"/>
      <c r="B167" s="31"/>
      <c r="C167" s="31"/>
      <c r="D167" s="31"/>
      <c r="E167" s="31"/>
      <c r="F167" s="31"/>
      <c r="G167" s="31"/>
      <c r="H167" s="31"/>
      <c r="I167" s="31"/>
      <c r="J167" s="31"/>
      <c r="K167" s="31"/>
      <c r="L167" s="31"/>
      <c r="M167" s="31"/>
      <c r="N167" s="31"/>
      <c r="O167" s="31"/>
      <c r="P167" s="31"/>
      <c r="Q167" s="31"/>
      <c r="R167" s="31"/>
      <c r="S167" s="31"/>
      <c r="T167" s="31"/>
      <c r="U167" s="31"/>
    </row>
    <row r="168" spans="1:21">
      <c r="A168" s="31"/>
      <c r="B168" s="31"/>
      <c r="C168" s="31"/>
      <c r="D168" s="31"/>
      <c r="E168" s="31"/>
      <c r="F168" s="31"/>
      <c r="G168" s="31"/>
      <c r="H168" s="31"/>
      <c r="I168" s="31"/>
      <c r="J168" s="31"/>
      <c r="K168" s="31"/>
      <c r="L168" s="31"/>
      <c r="M168" s="31"/>
      <c r="N168" s="31"/>
      <c r="O168" s="31"/>
      <c r="P168" s="31"/>
      <c r="Q168" s="31"/>
      <c r="R168" s="31"/>
      <c r="S168" s="31"/>
      <c r="T168" s="31"/>
      <c r="U168" s="31"/>
    </row>
    <row r="169" spans="1:21">
      <c r="A169" s="31"/>
      <c r="B169" s="31"/>
      <c r="C169" s="31"/>
      <c r="D169" s="31"/>
      <c r="E169" s="31"/>
      <c r="F169" s="31"/>
      <c r="G169" s="31"/>
      <c r="H169" s="31"/>
      <c r="I169" s="31"/>
      <c r="J169" s="31"/>
      <c r="K169" s="31"/>
      <c r="L169" s="31"/>
      <c r="M169" s="31"/>
      <c r="N169" s="31"/>
      <c r="O169" s="31"/>
      <c r="P169" s="31"/>
      <c r="Q169" s="31"/>
      <c r="R169" s="31"/>
      <c r="S169" s="31"/>
      <c r="T169" s="31"/>
      <c r="U169" s="31"/>
    </row>
    <row r="170" spans="1:21">
      <c r="A170" s="31"/>
      <c r="B170" s="31"/>
      <c r="C170" s="31"/>
      <c r="D170" s="31"/>
      <c r="E170" s="31"/>
      <c r="F170" s="31"/>
      <c r="G170" s="31"/>
      <c r="H170" s="31"/>
      <c r="I170" s="31"/>
      <c r="J170" s="31"/>
      <c r="K170" s="31"/>
      <c r="L170" s="31"/>
      <c r="M170" s="31"/>
      <c r="N170" s="31"/>
      <c r="O170" s="31"/>
      <c r="P170" s="31"/>
      <c r="Q170" s="31"/>
      <c r="R170" s="31"/>
      <c r="S170" s="31"/>
      <c r="T170" s="31"/>
      <c r="U170" s="31"/>
    </row>
    <row r="171" spans="1:21">
      <c r="A171" s="31"/>
      <c r="B171" s="31"/>
      <c r="C171" s="31"/>
      <c r="D171" s="31"/>
      <c r="E171" s="31"/>
      <c r="F171" s="31"/>
      <c r="G171" s="31"/>
      <c r="H171" s="31"/>
      <c r="I171" s="31"/>
      <c r="J171" s="31"/>
      <c r="K171" s="31"/>
      <c r="L171" s="31"/>
      <c r="M171" s="31"/>
      <c r="N171" s="31"/>
      <c r="O171" s="31"/>
      <c r="P171" s="31"/>
      <c r="Q171" s="31"/>
      <c r="R171" s="31"/>
      <c r="S171" s="31"/>
      <c r="T171" s="31"/>
      <c r="U171" s="31"/>
    </row>
    <row r="172" spans="1:21">
      <c r="A172" s="31"/>
      <c r="B172" s="31"/>
      <c r="C172" s="31"/>
      <c r="D172" s="31"/>
      <c r="E172" s="31"/>
      <c r="F172" s="31"/>
      <c r="G172" s="31"/>
      <c r="H172" s="31"/>
      <c r="I172" s="31"/>
      <c r="J172" s="31"/>
      <c r="K172" s="31"/>
      <c r="L172" s="31"/>
      <c r="M172" s="31"/>
      <c r="N172" s="31"/>
      <c r="O172" s="31"/>
      <c r="P172" s="31"/>
      <c r="Q172" s="31"/>
      <c r="R172" s="31"/>
      <c r="S172" s="31"/>
      <c r="T172" s="31"/>
      <c r="U172" s="31"/>
    </row>
    <row r="173" spans="1:21">
      <c r="A173" s="31"/>
      <c r="B173" s="31"/>
      <c r="C173" s="31"/>
      <c r="D173" s="31"/>
      <c r="E173" s="31"/>
      <c r="F173" s="31"/>
      <c r="G173" s="31"/>
      <c r="H173" s="31"/>
      <c r="I173" s="31"/>
      <c r="J173" s="31"/>
      <c r="K173" s="31"/>
      <c r="L173" s="31"/>
      <c r="M173" s="31"/>
      <c r="N173" s="31"/>
      <c r="O173" s="31"/>
      <c r="P173" s="31"/>
      <c r="Q173" s="31"/>
      <c r="R173" s="31"/>
      <c r="S173" s="31"/>
      <c r="T173" s="31"/>
      <c r="U173" s="31"/>
    </row>
    <row r="174" spans="1:21">
      <c r="A174" s="31"/>
      <c r="B174" s="31"/>
      <c r="C174" s="31"/>
      <c r="D174" s="31"/>
      <c r="E174" s="31"/>
      <c r="F174" s="31"/>
      <c r="G174" s="31"/>
      <c r="H174" s="31"/>
      <c r="I174" s="31"/>
      <c r="J174" s="31"/>
      <c r="K174" s="31"/>
      <c r="L174" s="31"/>
      <c r="M174" s="31"/>
      <c r="N174" s="31"/>
      <c r="O174" s="31"/>
      <c r="P174" s="31"/>
      <c r="Q174" s="31"/>
      <c r="R174" s="31"/>
      <c r="S174" s="31"/>
      <c r="T174" s="31"/>
      <c r="U174" s="31"/>
    </row>
    <row r="175" spans="1:21">
      <c r="A175" s="31"/>
      <c r="B175" s="31"/>
      <c r="C175" s="31"/>
      <c r="D175" s="31"/>
      <c r="E175" s="31"/>
      <c r="F175" s="31"/>
      <c r="G175" s="31"/>
      <c r="H175" s="31"/>
      <c r="I175" s="31"/>
      <c r="J175" s="31"/>
      <c r="K175" s="31"/>
      <c r="L175" s="31"/>
      <c r="M175" s="31"/>
      <c r="N175" s="31"/>
      <c r="O175" s="31"/>
      <c r="P175" s="31"/>
      <c r="Q175" s="31"/>
      <c r="R175" s="31"/>
      <c r="S175" s="31"/>
      <c r="T175" s="31"/>
      <c r="U175" s="31"/>
    </row>
    <row r="176" spans="1:21">
      <c r="A176" s="31"/>
      <c r="B176" s="31"/>
      <c r="C176" s="31"/>
      <c r="D176" s="31"/>
      <c r="E176" s="31"/>
      <c r="F176" s="31"/>
      <c r="G176" s="31"/>
      <c r="H176" s="31"/>
      <c r="I176" s="31"/>
      <c r="J176" s="31"/>
      <c r="K176" s="31"/>
      <c r="L176" s="31"/>
      <c r="M176" s="31"/>
      <c r="N176" s="31"/>
      <c r="O176" s="31"/>
      <c r="P176" s="31"/>
      <c r="Q176" s="31"/>
      <c r="R176" s="31"/>
      <c r="S176" s="31"/>
      <c r="T176" s="31"/>
      <c r="U176" s="31"/>
    </row>
    <row r="177" spans="1:21">
      <c r="A177" s="31"/>
      <c r="B177" s="31"/>
      <c r="C177" s="31"/>
      <c r="D177" s="31"/>
      <c r="E177" s="31"/>
      <c r="F177" s="31"/>
      <c r="G177" s="31"/>
      <c r="H177" s="31"/>
      <c r="I177" s="31"/>
      <c r="J177" s="31"/>
      <c r="K177" s="31"/>
      <c r="L177" s="31"/>
      <c r="M177" s="31"/>
      <c r="N177" s="31"/>
      <c r="O177" s="31"/>
      <c r="P177" s="31"/>
      <c r="Q177" s="31"/>
      <c r="R177" s="31"/>
      <c r="S177" s="31"/>
      <c r="T177" s="31"/>
      <c r="U177" s="31"/>
    </row>
    <row r="178" spans="1:21">
      <c r="A178" s="31"/>
      <c r="B178" s="31"/>
      <c r="C178" s="31"/>
      <c r="D178" s="31"/>
      <c r="E178" s="31"/>
      <c r="F178" s="31"/>
      <c r="G178" s="31"/>
      <c r="H178" s="31"/>
      <c r="I178" s="31"/>
      <c r="J178" s="31"/>
      <c r="K178" s="31"/>
      <c r="L178" s="31"/>
      <c r="M178" s="31"/>
      <c r="N178" s="31"/>
      <c r="O178" s="31"/>
      <c r="P178" s="31"/>
      <c r="Q178" s="31"/>
      <c r="R178" s="31"/>
      <c r="S178" s="31"/>
      <c r="T178" s="31"/>
      <c r="U178" s="31"/>
    </row>
    <row r="179" spans="1:21">
      <c r="A179" s="31"/>
      <c r="B179" s="31"/>
      <c r="C179" s="31"/>
      <c r="D179" s="31"/>
      <c r="E179" s="31"/>
      <c r="F179" s="31"/>
      <c r="G179" s="31"/>
      <c r="H179" s="31"/>
      <c r="I179" s="31"/>
      <c r="J179" s="31"/>
      <c r="K179" s="31"/>
      <c r="L179" s="31"/>
      <c r="M179" s="31"/>
      <c r="N179" s="31"/>
      <c r="O179" s="31"/>
      <c r="P179" s="31"/>
      <c r="Q179" s="31"/>
      <c r="R179" s="31"/>
      <c r="S179" s="31"/>
      <c r="T179" s="31"/>
      <c r="U179" s="31"/>
    </row>
    <row r="180" spans="1:21">
      <c r="A180" s="31"/>
      <c r="B180" s="31"/>
      <c r="C180" s="31"/>
      <c r="D180" s="31"/>
      <c r="E180" s="31"/>
      <c r="F180" s="31"/>
      <c r="G180" s="31"/>
      <c r="H180" s="31"/>
      <c r="I180" s="31"/>
      <c r="J180" s="31"/>
      <c r="K180" s="31"/>
      <c r="L180" s="31"/>
      <c r="M180" s="31"/>
      <c r="N180" s="31"/>
      <c r="O180" s="31"/>
      <c r="P180" s="31"/>
      <c r="Q180" s="31"/>
      <c r="R180" s="31"/>
      <c r="S180" s="31"/>
      <c r="T180" s="31"/>
      <c r="U180" s="31"/>
    </row>
    <row r="181" spans="1:21">
      <c r="A181" s="31"/>
      <c r="B181" s="31"/>
      <c r="C181" s="31"/>
      <c r="D181" s="31"/>
      <c r="E181" s="31"/>
      <c r="F181" s="31"/>
      <c r="G181" s="31"/>
      <c r="H181" s="31"/>
      <c r="I181" s="31"/>
      <c r="J181" s="31"/>
      <c r="K181" s="31"/>
      <c r="L181" s="31"/>
      <c r="M181" s="31"/>
      <c r="N181" s="31"/>
      <c r="O181" s="31"/>
      <c r="P181" s="31"/>
      <c r="Q181" s="31"/>
      <c r="R181" s="31"/>
      <c r="S181" s="31"/>
      <c r="T181" s="31"/>
      <c r="U181" s="31"/>
    </row>
    <row r="182" spans="1:21">
      <c r="A182" s="31"/>
      <c r="B182" s="31"/>
      <c r="C182" s="31"/>
      <c r="D182" s="31"/>
      <c r="E182" s="31"/>
      <c r="F182" s="31"/>
      <c r="G182" s="31"/>
      <c r="H182" s="31"/>
      <c r="I182" s="31"/>
      <c r="J182" s="31"/>
      <c r="K182" s="31"/>
      <c r="L182" s="31"/>
      <c r="M182" s="31"/>
      <c r="N182" s="31"/>
      <c r="O182" s="31"/>
      <c r="P182" s="31"/>
      <c r="Q182" s="31"/>
      <c r="R182" s="31"/>
      <c r="S182" s="31"/>
      <c r="T182" s="31"/>
      <c r="U182" s="31"/>
    </row>
    <row r="183" spans="1:21">
      <c r="A183" s="31"/>
      <c r="B183" s="31"/>
      <c r="C183" s="31"/>
      <c r="D183" s="31"/>
      <c r="E183" s="31"/>
      <c r="F183" s="31"/>
      <c r="G183" s="31"/>
      <c r="H183" s="31"/>
      <c r="I183" s="31"/>
      <c r="J183" s="31"/>
      <c r="K183" s="31"/>
      <c r="L183" s="31"/>
      <c r="M183" s="31"/>
      <c r="N183" s="31"/>
      <c r="O183" s="31"/>
      <c r="P183" s="31"/>
      <c r="Q183" s="31"/>
      <c r="R183" s="31"/>
      <c r="S183" s="31"/>
      <c r="T183" s="31"/>
      <c r="U183" s="31"/>
    </row>
    <row r="184" spans="1:21">
      <c r="A184" s="31"/>
      <c r="B184" s="31"/>
      <c r="C184" s="31"/>
      <c r="D184" s="31"/>
      <c r="E184" s="31"/>
      <c r="F184" s="31"/>
      <c r="G184" s="31"/>
      <c r="H184" s="31"/>
      <c r="I184" s="31"/>
      <c r="J184" s="31"/>
      <c r="K184" s="31"/>
      <c r="L184" s="31"/>
      <c r="M184" s="31"/>
      <c r="N184" s="31"/>
      <c r="O184" s="31"/>
      <c r="P184" s="31"/>
      <c r="Q184" s="31"/>
      <c r="R184" s="31"/>
      <c r="S184" s="31"/>
      <c r="T184" s="31"/>
      <c r="U184" s="31"/>
    </row>
    <row r="185" spans="1:21">
      <c r="A185" s="31"/>
      <c r="B185" s="31"/>
      <c r="C185" s="31"/>
      <c r="D185" s="31"/>
      <c r="E185" s="31"/>
      <c r="F185" s="31"/>
      <c r="G185" s="31"/>
      <c r="H185" s="31"/>
      <c r="I185" s="31"/>
      <c r="J185" s="31"/>
      <c r="K185" s="31"/>
      <c r="L185" s="31"/>
      <c r="M185" s="31"/>
      <c r="N185" s="31"/>
      <c r="O185" s="31"/>
      <c r="P185" s="31"/>
      <c r="Q185" s="31"/>
      <c r="R185" s="31"/>
      <c r="S185" s="31"/>
      <c r="T185" s="31"/>
      <c r="U185" s="31"/>
    </row>
    <row r="186" spans="1:21">
      <c r="A186" s="31"/>
      <c r="B186" s="31"/>
      <c r="C186" s="31"/>
      <c r="D186" s="31"/>
      <c r="E186" s="31"/>
      <c r="F186" s="31"/>
      <c r="G186" s="31"/>
      <c r="H186" s="31"/>
      <c r="I186" s="31"/>
      <c r="J186" s="31"/>
      <c r="K186" s="31"/>
      <c r="L186" s="31"/>
      <c r="M186" s="31"/>
      <c r="N186" s="31"/>
      <c r="O186" s="31"/>
      <c r="P186" s="31"/>
      <c r="Q186" s="31"/>
      <c r="R186" s="31"/>
      <c r="S186" s="31"/>
      <c r="T186" s="31"/>
      <c r="U186" s="31"/>
    </row>
    <row r="187" spans="1:21">
      <c r="A187" s="31"/>
      <c r="B187" s="31"/>
      <c r="C187" s="31"/>
      <c r="D187" s="31"/>
      <c r="E187" s="31"/>
      <c r="F187" s="31"/>
      <c r="G187" s="31"/>
      <c r="H187" s="31"/>
      <c r="I187" s="31"/>
      <c r="J187" s="31"/>
      <c r="K187" s="31"/>
      <c r="L187" s="31"/>
      <c r="M187" s="31"/>
      <c r="N187" s="31"/>
      <c r="O187" s="31"/>
      <c r="P187" s="31"/>
      <c r="Q187" s="31"/>
      <c r="R187" s="31"/>
      <c r="S187" s="31"/>
      <c r="T187" s="31"/>
      <c r="U187" s="31"/>
    </row>
    <row r="188" spans="1:21">
      <c r="A188" s="31"/>
      <c r="B188" s="31"/>
      <c r="C188" s="31"/>
      <c r="D188" s="31"/>
      <c r="E188" s="31"/>
      <c r="F188" s="31"/>
      <c r="G188" s="31"/>
      <c r="H188" s="31"/>
      <c r="I188" s="31"/>
      <c r="J188" s="31"/>
      <c r="K188" s="31"/>
      <c r="L188" s="31"/>
      <c r="M188" s="31"/>
      <c r="N188" s="31"/>
      <c r="O188" s="31"/>
      <c r="P188" s="31"/>
      <c r="Q188" s="31"/>
      <c r="R188" s="31"/>
      <c r="S188" s="31"/>
      <c r="T188" s="31"/>
      <c r="U188" s="31"/>
    </row>
    <row r="189" spans="1:21">
      <c r="A189" s="31"/>
      <c r="B189" s="31"/>
      <c r="C189" s="31"/>
      <c r="D189" s="31"/>
      <c r="E189" s="31"/>
      <c r="F189" s="31"/>
      <c r="G189" s="31"/>
      <c r="H189" s="31"/>
      <c r="I189" s="31"/>
      <c r="J189" s="31"/>
      <c r="K189" s="31"/>
      <c r="L189" s="31"/>
      <c r="M189" s="31"/>
      <c r="N189" s="31"/>
      <c r="O189" s="31"/>
      <c r="P189" s="31"/>
      <c r="Q189" s="31"/>
      <c r="R189" s="31"/>
      <c r="S189" s="31"/>
      <c r="T189" s="31"/>
      <c r="U189" s="31"/>
    </row>
    <row r="190" spans="1:21">
      <c r="A190" s="31"/>
      <c r="B190" s="31"/>
      <c r="C190" s="31"/>
      <c r="D190" s="31"/>
      <c r="E190" s="31"/>
      <c r="F190" s="31"/>
      <c r="G190" s="31"/>
      <c r="H190" s="31"/>
      <c r="I190" s="31"/>
      <c r="J190" s="31"/>
      <c r="K190" s="31"/>
      <c r="L190" s="31"/>
      <c r="M190" s="31"/>
      <c r="N190" s="31"/>
      <c r="O190" s="31"/>
      <c r="P190" s="31"/>
      <c r="Q190" s="31"/>
      <c r="R190" s="31"/>
      <c r="S190" s="31"/>
      <c r="T190" s="31"/>
      <c r="U190" s="31"/>
    </row>
    <row r="191" spans="1:21">
      <c r="A191" s="31"/>
      <c r="B191" s="31"/>
      <c r="C191" s="31"/>
      <c r="D191" s="31"/>
      <c r="E191" s="31"/>
      <c r="F191" s="31"/>
      <c r="G191" s="31"/>
      <c r="H191" s="31"/>
      <c r="I191" s="31"/>
      <c r="J191" s="31"/>
      <c r="K191" s="31"/>
      <c r="L191" s="31"/>
      <c r="M191" s="31"/>
      <c r="N191" s="31"/>
      <c r="O191" s="31"/>
      <c r="P191" s="31"/>
      <c r="Q191" s="31"/>
      <c r="R191" s="31"/>
      <c r="S191" s="31"/>
      <c r="T191" s="31"/>
      <c r="U191" s="31"/>
    </row>
    <row r="192" spans="1:21">
      <c r="A192" s="31"/>
      <c r="B192" s="31"/>
      <c r="C192" s="31"/>
      <c r="D192" s="31"/>
      <c r="E192" s="31"/>
      <c r="F192" s="31"/>
      <c r="G192" s="31"/>
      <c r="H192" s="31"/>
      <c r="I192" s="31"/>
      <c r="J192" s="31"/>
      <c r="K192" s="31"/>
      <c r="L192" s="31"/>
      <c r="M192" s="31"/>
      <c r="N192" s="31"/>
      <c r="O192" s="31"/>
      <c r="P192" s="31"/>
      <c r="Q192" s="31"/>
      <c r="R192" s="31"/>
      <c r="S192" s="31"/>
      <c r="T192" s="31"/>
      <c r="U192" s="31"/>
    </row>
    <row r="193" spans="1:21">
      <c r="A193" s="31"/>
      <c r="B193" s="31"/>
      <c r="C193" s="31"/>
      <c r="D193" s="31"/>
      <c r="E193" s="31"/>
      <c r="F193" s="31"/>
      <c r="G193" s="31"/>
      <c r="H193" s="31"/>
      <c r="I193" s="31"/>
      <c r="J193" s="31"/>
      <c r="K193" s="31"/>
      <c r="L193" s="31"/>
      <c r="M193" s="31"/>
      <c r="N193" s="31"/>
      <c r="O193" s="31"/>
      <c r="P193" s="31"/>
      <c r="Q193" s="31"/>
      <c r="R193" s="31"/>
      <c r="S193" s="31"/>
      <c r="T193" s="31"/>
      <c r="U193" s="31"/>
    </row>
    <row r="194" spans="1:21">
      <c r="A194" s="31"/>
      <c r="B194" s="31"/>
      <c r="C194" s="31"/>
      <c r="D194" s="31"/>
      <c r="E194" s="31"/>
      <c r="F194" s="31"/>
      <c r="G194" s="31"/>
      <c r="H194" s="31"/>
      <c r="I194" s="31"/>
      <c r="J194" s="31"/>
      <c r="K194" s="31"/>
      <c r="L194" s="31"/>
      <c r="M194" s="31"/>
      <c r="N194" s="31"/>
      <c r="O194" s="31"/>
      <c r="P194" s="31"/>
      <c r="Q194" s="31"/>
      <c r="R194" s="31"/>
      <c r="S194" s="31"/>
      <c r="T194" s="31"/>
      <c r="U194" s="31"/>
    </row>
    <row r="195" spans="1:21">
      <c r="A195" s="31"/>
      <c r="B195" s="31"/>
      <c r="C195" s="31"/>
      <c r="D195" s="31"/>
      <c r="E195" s="31"/>
      <c r="F195" s="31"/>
      <c r="G195" s="31"/>
      <c r="H195" s="31"/>
      <c r="I195" s="31"/>
      <c r="J195" s="31"/>
      <c r="K195" s="31"/>
      <c r="L195" s="31"/>
      <c r="M195" s="31"/>
      <c r="N195" s="31"/>
      <c r="O195" s="31"/>
      <c r="P195" s="31"/>
      <c r="Q195" s="31"/>
      <c r="R195" s="31"/>
      <c r="S195" s="31"/>
      <c r="T195" s="31"/>
      <c r="U195" s="31"/>
    </row>
    <row r="196" spans="1:21">
      <c r="A196" s="31"/>
      <c r="B196" s="31"/>
      <c r="C196" s="31"/>
      <c r="D196" s="31"/>
      <c r="E196" s="31"/>
      <c r="F196" s="31"/>
      <c r="G196" s="31"/>
      <c r="H196" s="31"/>
      <c r="I196" s="31"/>
      <c r="J196" s="31"/>
      <c r="K196" s="31"/>
      <c r="L196" s="31"/>
      <c r="M196" s="31"/>
      <c r="N196" s="31"/>
      <c r="O196" s="31"/>
      <c r="P196" s="31"/>
      <c r="Q196" s="31"/>
      <c r="R196" s="31"/>
      <c r="S196" s="31"/>
      <c r="T196" s="31"/>
      <c r="U196" s="31"/>
    </row>
    <row r="197" spans="1:21">
      <c r="A197" s="31"/>
      <c r="B197" s="31"/>
      <c r="C197" s="31"/>
      <c r="D197" s="31"/>
      <c r="E197" s="31"/>
      <c r="F197" s="31"/>
      <c r="G197" s="31"/>
      <c r="H197" s="31"/>
      <c r="I197" s="31"/>
      <c r="J197" s="31"/>
      <c r="K197" s="31"/>
      <c r="L197" s="31"/>
      <c r="M197" s="31"/>
      <c r="N197" s="31"/>
      <c r="O197" s="31"/>
      <c r="P197" s="31"/>
      <c r="Q197" s="31"/>
      <c r="R197" s="31"/>
      <c r="S197" s="31"/>
      <c r="T197" s="31"/>
      <c r="U197" s="31"/>
    </row>
    <row r="198" spans="1:21">
      <c r="A198" s="31"/>
      <c r="B198" s="31"/>
      <c r="C198" s="31"/>
      <c r="D198" s="31"/>
      <c r="E198" s="31"/>
      <c r="F198" s="31"/>
      <c r="G198" s="31"/>
      <c r="H198" s="31"/>
      <c r="I198" s="31"/>
      <c r="J198" s="31"/>
      <c r="K198" s="31"/>
      <c r="L198" s="31"/>
      <c r="M198" s="31"/>
      <c r="N198" s="31"/>
      <c r="O198" s="31"/>
      <c r="P198" s="31"/>
      <c r="Q198" s="31"/>
      <c r="R198" s="31"/>
      <c r="S198" s="31"/>
      <c r="T198" s="31"/>
      <c r="U198" s="31"/>
    </row>
    <row r="199" spans="1:21">
      <c r="A199" s="31"/>
      <c r="B199" s="31"/>
      <c r="C199" s="31"/>
      <c r="D199" s="31"/>
      <c r="E199" s="31"/>
      <c r="F199" s="31"/>
      <c r="G199" s="31"/>
      <c r="H199" s="31"/>
      <c r="I199" s="31"/>
      <c r="J199" s="31"/>
      <c r="K199" s="31"/>
      <c r="L199" s="31"/>
      <c r="M199" s="31"/>
      <c r="N199" s="31"/>
      <c r="O199" s="31"/>
      <c r="P199" s="31"/>
      <c r="Q199" s="31"/>
      <c r="R199" s="31"/>
      <c r="S199" s="31"/>
      <c r="T199" s="31"/>
      <c r="U199" s="31"/>
    </row>
    <row r="200" spans="1:21">
      <c r="A200" s="31"/>
      <c r="B200" s="31"/>
      <c r="C200" s="31"/>
      <c r="D200" s="31"/>
      <c r="E200" s="31"/>
      <c r="F200" s="31"/>
      <c r="G200" s="31"/>
      <c r="H200" s="31"/>
      <c r="I200" s="31"/>
      <c r="J200" s="31"/>
      <c r="K200" s="31"/>
      <c r="L200" s="31"/>
      <c r="M200" s="31"/>
      <c r="N200" s="31"/>
      <c r="O200" s="31"/>
      <c r="P200" s="31"/>
      <c r="Q200" s="31"/>
      <c r="R200" s="31"/>
      <c r="S200" s="31"/>
      <c r="T200" s="31"/>
      <c r="U200" s="31"/>
    </row>
    <row r="201" spans="1:21">
      <c r="A201" s="31"/>
      <c r="B201" s="31"/>
      <c r="C201" s="31"/>
      <c r="D201" s="31"/>
      <c r="E201" s="31"/>
      <c r="F201" s="31"/>
      <c r="G201" s="31"/>
      <c r="H201" s="31"/>
      <c r="I201" s="31"/>
      <c r="J201" s="31"/>
      <c r="K201" s="31"/>
      <c r="L201" s="31"/>
      <c r="M201" s="31"/>
      <c r="N201" s="31"/>
      <c r="O201" s="31"/>
      <c r="P201" s="31"/>
      <c r="Q201" s="31"/>
      <c r="R201" s="31"/>
      <c r="S201" s="31"/>
      <c r="T201" s="31"/>
      <c r="U201" s="31"/>
    </row>
    <row r="202" spans="1:21">
      <c r="A202" s="31"/>
      <c r="B202" s="31"/>
      <c r="C202" s="31"/>
      <c r="D202" s="31"/>
      <c r="E202" s="31"/>
      <c r="F202" s="31"/>
      <c r="G202" s="31"/>
      <c r="H202" s="31"/>
      <c r="I202" s="31"/>
      <c r="J202" s="31"/>
      <c r="K202" s="31"/>
      <c r="L202" s="31"/>
      <c r="M202" s="31"/>
      <c r="N202" s="31"/>
      <c r="O202" s="31"/>
      <c r="P202" s="31"/>
      <c r="Q202" s="31"/>
      <c r="R202" s="31"/>
      <c r="S202" s="31"/>
      <c r="T202" s="31"/>
      <c r="U202" s="31"/>
    </row>
    <row r="203" spans="1:21">
      <c r="A203" s="31"/>
      <c r="B203" s="31"/>
      <c r="C203" s="31"/>
      <c r="D203" s="31"/>
      <c r="E203" s="31"/>
      <c r="F203" s="31"/>
      <c r="G203" s="31"/>
      <c r="H203" s="31"/>
      <c r="I203" s="31"/>
      <c r="J203" s="31"/>
      <c r="K203" s="31"/>
      <c r="L203" s="31"/>
      <c r="M203" s="31"/>
      <c r="N203" s="31"/>
      <c r="O203" s="31"/>
      <c r="P203" s="31"/>
      <c r="Q203" s="31"/>
      <c r="R203" s="31"/>
      <c r="S203" s="31"/>
      <c r="T203" s="31"/>
      <c r="U203" s="31"/>
    </row>
    <row r="204" spans="1:21">
      <c r="A204" s="31"/>
      <c r="B204" s="31"/>
      <c r="C204" s="31"/>
      <c r="D204" s="31"/>
      <c r="E204" s="31"/>
      <c r="F204" s="31"/>
      <c r="G204" s="31"/>
      <c r="H204" s="31"/>
      <c r="I204" s="31"/>
      <c r="J204" s="31"/>
      <c r="K204" s="31"/>
      <c r="L204" s="31"/>
      <c r="M204" s="31"/>
      <c r="N204" s="31"/>
      <c r="O204" s="31"/>
      <c r="P204" s="31"/>
      <c r="Q204" s="31"/>
      <c r="R204" s="31"/>
      <c r="S204" s="31"/>
      <c r="T204" s="31"/>
      <c r="U204" s="31"/>
    </row>
    <row r="205" spans="1:21">
      <c r="A205" s="31"/>
      <c r="B205" s="31"/>
      <c r="C205" s="31"/>
      <c r="D205" s="31"/>
      <c r="E205" s="31"/>
      <c r="F205" s="31"/>
      <c r="G205" s="31"/>
      <c r="H205" s="31"/>
      <c r="I205" s="31"/>
      <c r="J205" s="31"/>
      <c r="K205" s="31"/>
      <c r="L205" s="31"/>
      <c r="M205" s="31"/>
      <c r="N205" s="31"/>
      <c r="O205" s="31"/>
      <c r="P205" s="31"/>
      <c r="Q205" s="31"/>
      <c r="R205" s="31"/>
      <c r="S205" s="31"/>
      <c r="T205" s="31"/>
      <c r="U205" s="31"/>
    </row>
    <row r="206" spans="1:21">
      <c r="A206" s="31"/>
      <c r="B206" s="31"/>
      <c r="C206" s="31"/>
      <c r="D206" s="31"/>
      <c r="E206" s="31"/>
      <c r="F206" s="31"/>
      <c r="G206" s="31"/>
      <c r="H206" s="31"/>
      <c r="I206" s="31"/>
      <c r="J206" s="31"/>
      <c r="K206" s="31"/>
      <c r="L206" s="31"/>
      <c r="M206" s="31"/>
      <c r="N206" s="31"/>
      <c r="O206" s="31"/>
      <c r="P206" s="31"/>
      <c r="Q206" s="31"/>
      <c r="R206" s="31"/>
      <c r="S206" s="31"/>
      <c r="T206" s="31"/>
      <c r="U206" s="31"/>
    </row>
    <row r="207" spans="1:21">
      <c r="A207" s="31"/>
      <c r="B207" s="31"/>
      <c r="C207" s="31"/>
      <c r="D207" s="31"/>
      <c r="E207" s="31"/>
      <c r="F207" s="31"/>
      <c r="G207" s="31"/>
      <c r="H207" s="31"/>
      <c r="I207" s="31"/>
      <c r="J207" s="31"/>
      <c r="K207" s="31"/>
      <c r="L207" s="31"/>
      <c r="M207" s="31"/>
      <c r="N207" s="31"/>
      <c r="O207" s="31"/>
      <c r="P207" s="31"/>
      <c r="Q207" s="31"/>
      <c r="R207" s="31"/>
      <c r="S207" s="31"/>
      <c r="T207" s="31"/>
      <c r="U207" s="31"/>
    </row>
    <row r="208" spans="1:21">
      <c r="A208" s="31"/>
      <c r="B208" s="31"/>
      <c r="C208" s="31"/>
      <c r="D208" s="31"/>
      <c r="E208" s="31"/>
      <c r="F208" s="31"/>
      <c r="G208" s="31"/>
      <c r="H208" s="31"/>
      <c r="I208" s="31"/>
      <c r="J208" s="31"/>
      <c r="K208" s="31"/>
      <c r="L208" s="31"/>
      <c r="M208" s="31"/>
      <c r="N208" s="31"/>
      <c r="O208" s="31"/>
      <c r="P208" s="31"/>
      <c r="Q208" s="31"/>
      <c r="R208" s="31"/>
      <c r="S208" s="31"/>
      <c r="T208" s="31"/>
      <c r="U208" s="31"/>
    </row>
    <row r="209" spans="1:21">
      <c r="A209" s="31"/>
      <c r="B209" s="31"/>
      <c r="C209" s="31"/>
      <c r="D209" s="31"/>
      <c r="E209" s="31"/>
      <c r="F209" s="31"/>
      <c r="G209" s="31"/>
      <c r="H209" s="31"/>
      <c r="I209" s="31"/>
      <c r="J209" s="31"/>
      <c r="K209" s="31"/>
      <c r="L209" s="31"/>
      <c r="M209" s="31"/>
      <c r="N209" s="31"/>
      <c r="O209" s="31"/>
      <c r="P209" s="31"/>
      <c r="Q209" s="31"/>
      <c r="R209" s="31"/>
      <c r="S209" s="31"/>
      <c r="T209" s="31"/>
      <c r="U209" s="31"/>
    </row>
    <row r="210" spans="1:21">
      <c r="A210" s="31"/>
      <c r="B210" s="31"/>
      <c r="C210" s="31"/>
      <c r="D210" s="31"/>
      <c r="E210" s="31"/>
      <c r="F210" s="31"/>
      <c r="G210" s="31"/>
      <c r="H210" s="31"/>
      <c r="I210" s="31"/>
      <c r="J210" s="31"/>
      <c r="K210" s="31"/>
      <c r="L210" s="31"/>
      <c r="M210" s="31"/>
      <c r="N210" s="31"/>
      <c r="O210" s="31"/>
      <c r="P210" s="31"/>
      <c r="Q210" s="31"/>
      <c r="R210" s="31"/>
      <c r="S210" s="31"/>
      <c r="T210" s="31"/>
      <c r="U210" s="31"/>
    </row>
    <row r="211" spans="1:21">
      <c r="A211" s="31"/>
      <c r="B211" s="31"/>
      <c r="C211" s="31"/>
      <c r="D211" s="31"/>
      <c r="E211" s="31"/>
      <c r="F211" s="31"/>
      <c r="G211" s="31"/>
      <c r="H211" s="31"/>
      <c r="I211" s="31"/>
      <c r="J211" s="31"/>
      <c r="K211" s="31"/>
      <c r="L211" s="31"/>
      <c r="M211" s="31"/>
      <c r="N211" s="31"/>
      <c r="O211" s="31"/>
      <c r="P211" s="31"/>
      <c r="Q211" s="31"/>
      <c r="R211" s="31"/>
      <c r="S211" s="31"/>
      <c r="T211" s="31"/>
      <c r="U211" s="31"/>
    </row>
    <row r="212" spans="1:21">
      <c r="A212" s="31"/>
      <c r="B212" s="31"/>
      <c r="C212" s="31"/>
      <c r="D212" s="31"/>
      <c r="E212" s="31"/>
      <c r="F212" s="31"/>
      <c r="G212" s="31"/>
      <c r="H212" s="31"/>
      <c r="I212" s="31"/>
      <c r="J212" s="31"/>
      <c r="K212" s="31"/>
      <c r="L212" s="31"/>
      <c r="M212" s="31"/>
      <c r="N212" s="31"/>
      <c r="O212" s="31"/>
      <c r="P212" s="31"/>
      <c r="Q212" s="31"/>
      <c r="R212" s="31"/>
      <c r="S212" s="31"/>
      <c r="T212" s="31"/>
      <c r="U212" s="31"/>
    </row>
    <row r="213" spans="1:21">
      <c r="A213" s="31"/>
      <c r="B213" s="31"/>
      <c r="C213" s="31"/>
      <c r="D213" s="31"/>
      <c r="E213" s="31"/>
      <c r="F213" s="31"/>
      <c r="G213" s="31"/>
      <c r="H213" s="31"/>
      <c r="I213" s="31"/>
      <c r="J213" s="31"/>
      <c r="K213" s="31"/>
      <c r="L213" s="31"/>
      <c r="M213" s="31"/>
      <c r="N213" s="31"/>
      <c r="O213" s="31"/>
      <c r="P213" s="31"/>
      <c r="Q213" s="31"/>
      <c r="R213" s="31"/>
      <c r="S213" s="31"/>
      <c r="T213" s="31"/>
      <c r="U213" s="31"/>
    </row>
    <row r="214" spans="1:21">
      <c r="A214" s="31"/>
      <c r="B214" s="31"/>
      <c r="C214" s="31"/>
      <c r="D214" s="31"/>
      <c r="E214" s="31"/>
      <c r="F214" s="31"/>
      <c r="G214" s="31"/>
      <c r="H214" s="31"/>
      <c r="I214" s="31"/>
      <c r="J214" s="31"/>
      <c r="K214" s="31"/>
      <c r="L214" s="31"/>
      <c r="M214" s="31"/>
      <c r="N214" s="31"/>
      <c r="O214" s="31"/>
      <c r="P214" s="31"/>
      <c r="Q214" s="31"/>
      <c r="R214" s="31"/>
      <c r="S214" s="31"/>
      <c r="T214" s="31"/>
      <c r="U214" s="31"/>
    </row>
    <row r="215" spans="1:21">
      <c r="A215" s="31"/>
      <c r="B215" s="31"/>
      <c r="C215" s="31"/>
      <c r="D215" s="31"/>
      <c r="E215" s="31"/>
      <c r="F215" s="31"/>
      <c r="G215" s="31"/>
      <c r="H215" s="31"/>
      <c r="I215" s="31"/>
      <c r="J215" s="31"/>
      <c r="K215" s="31"/>
      <c r="L215" s="31"/>
      <c r="M215" s="31"/>
      <c r="N215" s="31"/>
      <c r="O215" s="31"/>
      <c r="P215" s="31"/>
      <c r="Q215" s="31"/>
      <c r="R215" s="31"/>
      <c r="S215" s="31"/>
      <c r="T215" s="31"/>
      <c r="U215" s="31"/>
    </row>
    <row r="216" spans="1:21">
      <c r="A216" s="31"/>
      <c r="B216" s="31"/>
      <c r="C216" s="31"/>
      <c r="D216" s="31"/>
      <c r="E216" s="31"/>
      <c r="F216" s="31"/>
      <c r="G216" s="31"/>
      <c r="H216" s="31"/>
      <c r="I216" s="31"/>
      <c r="J216" s="31"/>
      <c r="K216" s="31"/>
      <c r="L216" s="31"/>
      <c r="M216" s="31"/>
      <c r="N216" s="31"/>
      <c r="O216" s="31"/>
      <c r="P216" s="31"/>
      <c r="Q216" s="31"/>
      <c r="R216" s="31"/>
      <c r="S216" s="31"/>
      <c r="T216" s="31"/>
      <c r="U216" s="31"/>
    </row>
    <row r="217" spans="1:21">
      <c r="A217" s="31"/>
      <c r="B217" s="31"/>
      <c r="C217" s="31"/>
      <c r="D217" s="31"/>
      <c r="E217" s="31"/>
      <c r="F217" s="31"/>
      <c r="G217" s="31"/>
      <c r="H217" s="31"/>
      <c r="I217" s="31"/>
      <c r="J217" s="31"/>
      <c r="K217" s="31"/>
      <c r="L217" s="31"/>
      <c r="M217" s="31"/>
      <c r="N217" s="31"/>
      <c r="O217" s="31"/>
      <c r="P217" s="31"/>
      <c r="Q217" s="31"/>
      <c r="R217" s="31"/>
      <c r="S217" s="31"/>
      <c r="T217" s="31"/>
      <c r="U217" s="31"/>
    </row>
    <row r="218" spans="1:21">
      <c r="A218" s="31"/>
      <c r="B218" s="31"/>
      <c r="C218" s="31"/>
      <c r="D218" s="31"/>
      <c r="E218" s="31"/>
      <c r="F218" s="31"/>
      <c r="G218" s="31"/>
      <c r="H218" s="31"/>
      <c r="I218" s="31"/>
      <c r="J218" s="31"/>
      <c r="K218" s="31"/>
      <c r="L218" s="31"/>
      <c r="M218" s="31"/>
      <c r="N218" s="31"/>
      <c r="O218" s="31"/>
      <c r="P218" s="31"/>
      <c r="Q218" s="31"/>
      <c r="R218" s="31"/>
      <c r="S218" s="31"/>
      <c r="T218" s="31"/>
      <c r="U218" s="31"/>
    </row>
    <row r="219" spans="1:21">
      <c r="A219" s="31"/>
      <c r="B219" s="31"/>
      <c r="C219" s="31"/>
      <c r="D219" s="31"/>
      <c r="E219" s="31"/>
      <c r="F219" s="31"/>
      <c r="G219" s="31"/>
      <c r="H219" s="31"/>
      <c r="I219" s="31"/>
      <c r="J219" s="31"/>
      <c r="K219" s="31"/>
      <c r="L219" s="31"/>
      <c r="M219" s="31"/>
      <c r="N219" s="31"/>
      <c r="O219" s="31"/>
      <c r="P219" s="31"/>
      <c r="Q219" s="31"/>
      <c r="R219" s="31"/>
      <c r="S219" s="31"/>
      <c r="T219" s="31"/>
      <c r="U219" s="31"/>
    </row>
    <row r="220" spans="1:21">
      <c r="A220" s="31"/>
      <c r="B220" s="31"/>
      <c r="C220" s="31"/>
      <c r="D220" s="31"/>
      <c r="E220" s="31"/>
      <c r="F220" s="31"/>
      <c r="G220" s="31"/>
      <c r="H220" s="31"/>
      <c r="I220" s="31"/>
      <c r="J220" s="31"/>
      <c r="K220" s="31"/>
      <c r="L220" s="31"/>
      <c r="M220" s="31"/>
      <c r="N220" s="31"/>
      <c r="O220" s="31"/>
      <c r="P220" s="31"/>
      <c r="Q220" s="31"/>
      <c r="R220" s="31"/>
      <c r="S220" s="31"/>
      <c r="T220" s="31"/>
      <c r="U220" s="31"/>
    </row>
    <row r="221" spans="1:21">
      <c r="A221" s="31"/>
      <c r="B221" s="31"/>
      <c r="C221" s="31"/>
      <c r="D221" s="31"/>
      <c r="E221" s="31"/>
      <c r="F221" s="31"/>
      <c r="G221" s="31"/>
      <c r="H221" s="31"/>
      <c r="I221" s="31"/>
      <c r="J221" s="31"/>
      <c r="K221" s="31"/>
      <c r="L221" s="31"/>
      <c r="M221" s="31"/>
      <c r="N221" s="31"/>
      <c r="O221" s="31"/>
      <c r="P221" s="31"/>
      <c r="Q221" s="31"/>
      <c r="R221" s="31"/>
      <c r="S221" s="31"/>
      <c r="T221" s="31"/>
      <c r="U221" s="31"/>
    </row>
    <row r="222" spans="1:21">
      <c r="A222" s="31"/>
      <c r="B222" s="31"/>
      <c r="C222" s="31"/>
      <c r="D222" s="31"/>
      <c r="E222" s="31"/>
      <c r="F222" s="31"/>
      <c r="G222" s="31"/>
      <c r="H222" s="31"/>
      <c r="I222" s="31"/>
      <c r="J222" s="31"/>
      <c r="K222" s="31"/>
      <c r="L222" s="31"/>
      <c r="M222" s="31"/>
      <c r="N222" s="31"/>
      <c r="O222" s="31"/>
      <c r="P222" s="31"/>
      <c r="Q222" s="31"/>
      <c r="R222" s="31"/>
      <c r="S222" s="31"/>
      <c r="T222" s="31"/>
      <c r="U222" s="31"/>
    </row>
    <row r="223" spans="1:21">
      <c r="A223" s="31"/>
      <c r="B223" s="31"/>
      <c r="C223" s="31"/>
      <c r="D223" s="31"/>
      <c r="E223" s="31"/>
      <c r="F223" s="31"/>
      <c r="G223" s="31"/>
      <c r="H223" s="31"/>
      <c r="I223" s="31"/>
      <c r="J223" s="31"/>
      <c r="K223" s="31"/>
      <c r="L223" s="31"/>
      <c r="M223" s="31"/>
      <c r="N223" s="31"/>
      <c r="O223" s="31"/>
      <c r="P223" s="31"/>
      <c r="Q223" s="31"/>
      <c r="R223" s="31"/>
      <c r="S223" s="31"/>
      <c r="T223" s="31"/>
      <c r="U223" s="31"/>
    </row>
    <row r="224" spans="1:21">
      <c r="A224" s="31"/>
      <c r="B224" s="31"/>
      <c r="C224" s="31"/>
      <c r="D224" s="31"/>
      <c r="E224" s="31"/>
      <c r="F224" s="31"/>
      <c r="G224" s="31"/>
      <c r="H224" s="31"/>
      <c r="I224" s="31"/>
      <c r="J224" s="31"/>
      <c r="K224" s="31"/>
      <c r="L224" s="31"/>
      <c r="M224" s="31"/>
      <c r="N224" s="31"/>
      <c r="O224" s="31"/>
      <c r="P224" s="31"/>
      <c r="Q224" s="31"/>
      <c r="R224" s="31"/>
      <c r="S224" s="31"/>
      <c r="T224" s="31"/>
      <c r="U224" s="31"/>
    </row>
    <row r="225" spans="1:21">
      <c r="A225" s="31"/>
      <c r="B225" s="31"/>
      <c r="C225" s="31"/>
      <c r="D225" s="31"/>
      <c r="E225" s="31"/>
      <c r="F225" s="31"/>
      <c r="G225" s="31"/>
      <c r="H225" s="31"/>
      <c r="I225" s="31"/>
      <c r="J225" s="31"/>
      <c r="K225" s="31"/>
      <c r="L225" s="31"/>
      <c r="M225" s="31"/>
      <c r="N225" s="31"/>
      <c r="O225" s="31"/>
      <c r="P225" s="31"/>
      <c r="Q225" s="31"/>
      <c r="R225" s="31"/>
      <c r="S225" s="31"/>
      <c r="T225" s="31"/>
      <c r="U225" s="31"/>
    </row>
    <row r="226" spans="1:21">
      <c r="A226" s="31"/>
      <c r="B226" s="31"/>
      <c r="C226" s="31"/>
      <c r="D226" s="31"/>
      <c r="E226" s="31"/>
      <c r="F226" s="31"/>
      <c r="G226" s="31"/>
      <c r="H226" s="31"/>
      <c r="I226" s="31"/>
      <c r="J226" s="31"/>
      <c r="K226" s="31"/>
      <c r="L226" s="31"/>
      <c r="M226" s="31"/>
      <c r="N226" s="31"/>
      <c r="O226" s="31"/>
      <c r="P226" s="31"/>
      <c r="Q226" s="31"/>
      <c r="R226" s="31"/>
      <c r="S226" s="31"/>
      <c r="T226" s="31"/>
      <c r="U226" s="31"/>
    </row>
    <row r="227" spans="1:21">
      <c r="A227" s="31"/>
      <c r="B227" s="31"/>
      <c r="C227" s="31"/>
      <c r="D227" s="31"/>
      <c r="E227" s="31"/>
      <c r="F227" s="31"/>
      <c r="G227" s="31"/>
      <c r="H227" s="31"/>
      <c r="I227" s="31"/>
      <c r="J227" s="31"/>
      <c r="K227" s="31"/>
      <c r="L227" s="31"/>
      <c r="M227" s="31"/>
      <c r="N227" s="31"/>
      <c r="O227" s="31"/>
      <c r="P227" s="31"/>
      <c r="Q227" s="31"/>
      <c r="R227" s="31"/>
      <c r="S227" s="31"/>
      <c r="T227" s="31"/>
      <c r="U227" s="31"/>
    </row>
    <row r="228" spans="1:21">
      <c r="A228" s="31"/>
      <c r="B228" s="31"/>
      <c r="C228" s="31"/>
      <c r="D228" s="31"/>
      <c r="E228" s="31"/>
      <c r="F228" s="31"/>
      <c r="G228" s="31"/>
      <c r="H228" s="31"/>
      <c r="I228" s="31"/>
      <c r="J228" s="31"/>
      <c r="K228" s="31"/>
      <c r="L228" s="31"/>
      <c r="M228" s="31"/>
      <c r="N228" s="31"/>
      <c r="O228" s="31"/>
      <c r="P228" s="31"/>
      <c r="Q228" s="31"/>
      <c r="R228" s="31"/>
      <c r="S228" s="31"/>
      <c r="T228" s="31"/>
      <c r="U228" s="31"/>
    </row>
    <row r="229" spans="1:21">
      <c r="A229" s="31"/>
      <c r="B229" s="31"/>
      <c r="C229" s="31"/>
      <c r="D229" s="31"/>
      <c r="E229" s="31"/>
      <c r="F229" s="31"/>
      <c r="G229" s="31"/>
      <c r="H229" s="31"/>
      <c r="I229" s="31"/>
      <c r="J229" s="31"/>
      <c r="K229" s="31"/>
      <c r="L229" s="31"/>
      <c r="M229" s="31"/>
      <c r="N229" s="31"/>
      <c r="O229" s="31"/>
      <c r="P229" s="31"/>
      <c r="Q229" s="31"/>
      <c r="R229" s="31"/>
      <c r="S229" s="31"/>
      <c r="T229" s="31"/>
      <c r="U229" s="31"/>
    </row>
    <row r="230" spans="1:21">
      <c r="A230" s="31"/>
      <c r="B230" s="31"/>
      <c r="C230" s="31"/>
      <c r="D230" s="31"/>
      <c r="E230" s="31"/>
      <c r="F230" s="31"/>
      <c r="G230" s="31"/>
      <c r="H230" s="31"/>
      <c r="I230" s="31"/>
      <c r="J230" s="31"/>
      <c r="K230" s="31"/>
      <c r="L230" s="31"/>
      <c r="M230" s="31"/>
      <c r="N230" s="31"/>
      <c r="O230" s="31"/>
      <c r="P230" s="31"/>
      <c r="Q230" s="31"/>
      <c r="R230" s="31"/>
      <c r="S230" s="31"/>
      <c r="T230" s="31"/>
      <c r="U230" s="31"/>
    </row>
    <row r="231" spans="1:21">
      <c r="A231" s="31"/>
      <c r="B231" s="31"/>
      <c r="C231" s="31"/>
      <c r="D231" s="31"/>
      <c r="E231" s="31"/>
      <c r="F231" s="31"/>
      <c r="G231" s="31"/>
      <c r="H231" s="31"/>
      <c r="I231" s="31"/>
      <c r="J231" s="31"/>
      <c r="K231" s="31"/>
      <c r="L231" s="31"/>
      <c r="M231" s="31"/>
      <c r="N231" s="31"/>
      <c r="O231" s="31"/>
      <c r="P231" s="31"/>
      <c r="Q231" s="31"/>
      <c r="R231" s="31"/>
      <c r="S231" s="31"/>
      <c r="T231" s="31"/>
      <c r="U231" s="31"/>
    </row>
    <row r="232" spans="1:21">
      <c r="A232" s="31"/>
      <c r="B232" s="31"/>
      <c r="C232" s="31"/>
      <c r="D232" s="31"/>
      <c r="E232" s="31"/>
      <c r="F232" s="31"/>
      <c r="G232" s="31"/>
      <c r="H232" s="31"/>
      <c r="I232" s="31"/>
      <c r="J232" s="31"/>
      <c r="K232" s="31"/>
      <c r="L232" s="31"/>
      <c r="M232" s="31"/>
      <c r="N232" s="31"/>
      <c r="O232" s="31"/>
      <c r="P232" s="31"/>
      <c r="Q232" s="31"/>
      <c r="R232" s="31"/>
      <c r="S232" s="31"/>
      <c r="T232" s="31"/>
      <c r="U232" s="31"/>
    </row>
    <row r="233" spans="1:21">
      <c r="A233" s="31"/>
      <c r="B233" s="31"/>
      <c r="C233" s="31"/>
      <c r="D233" s="31"/>
      <c r="E233" s="31"/>
      <c r="F233" s="31"/>
      <c r="G233" s="31"/>
      <c r="H233" s="31"/>
      <c r="I233" s="31"/>
      <c r="J233" s="31"/>
      <c r="K233" s="31"/>
      <c r="L233" s="31"/>
      <c r="M233" s="31"/>
      <c r="N233" s="31"/>
      <c r="O233" s="31"/>
      <c r="P233" s="31"/>
      <c r="Q233" s="31"/>
      <c r="R233" s="31"/>
      <c r="S233" s="31"/>
      <c r="T233" s="31"/>
      <c r="U233" s="31"/>
    </row>
    <row r="234" spans="1:21">
      <c r="A234" s="31"/>
      <c r="B234" s="31"/>
      <c r="C234" s="31"/>
      <c r="D234" s="31"/>
      <c r="E234" s="31"/>
      <c r="F234" s="31"/>
      <c r="G234" s="31"/>
      <c r="H234" s="31"/>
      <c r="I234" s="31"/>
      <c r="J234" s="31"/>
      <c r="K234" s="31"/>
      <c r="L234" s="31"/>
      <c r="M234" s="31"/>
      <c r="N234" s="31"/>
      <c r="O234" s="31"/>
      <c r="P234" s="31"/>
      <c r="Q234" s="31"/>
      <c r="R234" s="31"/>
      <c r="S234" s="31"/>
      <c r="T234" s="31"/>
      <c r="U234" s="31"/>
    </row>
    <row r="235" spans="1:21">
      <c r="A235" s="31"/>
      <c r="B235" s="31"/>
      <c r="C235" s="31"/>
      <c r="D235" s="31"/>
      <c r="E235" s="31"/>
      <c r="F235" s="31"/>
      <c r="G235" s="31"/>
      <c r="H235" s="31"/>
      <c r="I235" s="31"/>
      <c r="J235" s="31"/>
      <c r="K235" s="31"/>
      <c r="L235" s="31"/>
      <c r="M235" s="31"/>
      <c r="N235" s="31"/>
      <c r="O235" s="31"/>
      <c r="P235" s="31"/>
      <c r="Q235" s="31"/>
      <c r="R235" s="31"/>
      <c r="S235" s="31"/>
      <c r="T235" s="31"/>
      <c r="U235" s="31"/>
    </row>
    <row r="236" spans="1:21">
      <c r="A236" s="31"/>
      <c r="B236" s="31"/>
      <c r="C236" s="31"/>
      <c r="D236" s="31"/>
      <c r="E236" s="31"/>
      <c r="F236" s="31"/>
      <c r="G236" s="31"/>
      <c r="H236" s="31"/>
      <c r="I236" s="31"/>
      <c r="J236" s="31"/>
      <c r="K236" s="31"/>
      <c r="L236" s="31"/>
      <c r="M236" s="31"/>
      <c r="N236" s="31"/>
      <c r="O236" s="31"/>
      <c r="P236" s="31"/>
      <c r="Q236" s="31"/>
      <c r="R236" s="31"/>
      <c r="S236" s="31"/>
      <c r="T236" s="31"/>
      <c r="U236" s="31"/>
    </row>
    <row r="237" spans="1:21">
      <c r="A237" s="31"/>
      <c r="B237" s="31"/>
      <c r="C237" s="31"/>
      <c r="D237" s="31"/>
      <c r="E237" s="31"/>
      <c r="F237" s="31"/>
      <c r="G237" s="31"/>
      <c r="H237" s="31"/>
      <c r="I237" s="31"/>
      <c r="J237" s="31"/>
      <c r="K237" s="31"/>
      <c r="L237" s="31"/>
      <c r="M237" s="31"/>
      <c r="N237" s="31"/>
      <c r="O237" s="31"/>
      <c r="P237" s="31"/>
      <c r="Q237" s="31"/>
      <c r="R237" s="31"/>
      <c r="S237" s="31"/>
      <c r="T237" s="31"/>
      <c r="U237" s="31"/>
    </row>
    <row r="238" spans="1:21">
      <c r="A238" s="31"/>
      <c r="B238" s="31"/>
      <c r="C238" s="31"/>
      <c r="D238" s="31"/>
      <c r="E238" s="31"/>
      <c r="F238" s="31"/>
      <c r="G238" s="31"/>
      <c r="H238" s="31"/>
      <c r="I238" s="31"/>
      <c r="J238" s="31"/>
      <c r="K238" s="31"/>
      <c r="L238" s="31"/>
      <c r="M238" s="31"/>
      <c r="N238" s="31"/>
      <c r="O238" s="31"/>
      <c r="P238" s="31"/>
      <c r="Q238" s="31"/>
      <c r="R238" s="31"/>
      <c r="S238" s="31"/>
      <c r="T238" s="31"/>
      <c r="U238" s="31"/>
    </row>
    <row r="239" spans="1:21">
      <c r="A239" s="31"/>
      <c r="B239" s="31"/>
      <c r="C239" s="31"/>
      <c r="D239" s="31"/>
      <c r="E239" s="31"/>
      <c r="F239" s="31"/>
      <c r="G239" s="31"/>
      <c r="H239" s="31"/>
      <c r="I239" s="31"/>
      <c r="J239" s="31"/>
      <c r="K239" s="31"/>
      <c r="L239" s="31"/>
      <c r="M239" s="31"/>
      <c r="N239" s="31"/>
      <c r="O239" s="31"/>
      <c r="P239" s="31"/>
      <c r="Q239" s="31"/>
      <c r="R239" s="31"/>
      <c r="S239" s="31"/>
      <c r="T239" s="31"/>
      <c r="U239" s="31"/>
    </row>
    <row r="240" spans="1:21">
      <c r="A240" s="31"/>
      <c r="B240" s="31"/>
      <c r="C240" s="31"/>
      <c r="D240" s="31"/>
      <c r="E240" s="31"/>
      <c r="F240" s="31"/>
      <c r="G240" s="31"/>
      <c r="H240" s="31"/>
      <c r="I240" s="31"/>
      <c r="J240" s="31"/>
      <c r="K240" s="31"/>
      <c r="L240" s="31"/>
      <c r="M240" s="31"/>
      <c r="N240" s="31"/>
      <c r="O240" s="31"/>
      <c r="P240" s="31"/>
      <c r="Q240" s="31"/>
      <c r="R240" s="31"/>
      <c r="S240" s="31"/>
      <c r="T240" s="31"/>
      <c r="U240" s="31"/>
    </row>
    <row r="241" spans="1:21">
      <c r="A241" s="31"/>
      <c r="B241" s="31"/>
      <c r="C241" s="31"/>
      <c r="D241" s="31"/>
      <c r="E241" s="31"/>
      <c r="F241" s="31"/>
      <c r="G241" s="31"/>
      <c r="H241" s="31"/>
      <c r="I241" s="31"/>
      <c r="J241" s="31"/>
      <c r="K241" s="31"/>
      <c r="L241" s="31"/>
      <c r="M241" s="31"/>
      <c r="N241" s="31"/>
      <c r="O241" s="31"/>
      <c r="P241" s="31"/>
      <c r="Q241" s="31"/>
      <c r="R241" s="31"/>
      <c r="S241" s="31"/>
      <c r="T241" s="31"/>
      <c r="U241" s="31"/>
    </row>
    <row r="242" spans="1:21">
      <c r="A242" s="31"/>
      <c r="B242" s="31"/>
      <c r="C242" s="31"/>
      <c r="D242" s="31"/>
      <c r="E242" s="31"/>
      <c r="F242" s="31"/>
      <c r="G242" s="31"/>
      <c r="H242" s="31"/>
      <c r="I242" s="31"/>
      <c r="J242" s="31"/>
      <c r="K242" s="31"/>
      <c r="L242" s="31"/>
      <c r="M242" s="31"/>
      <c r="N242" s="31"/>
      <c r="O242" s="31"/>
      <c r="P242" s="31"/>
      <c r="Q242" s="31"/>
      <c r="R242" s="31"/>
      <c r="S242" s="31"/>
      <c r="T242" s="31"/>
      <c r="U242" s="31"/>
    </row>
    <row r="243" spans="1:21">
      <c r="A243" s="31"/>
      <c r="B243" s="31"/>
      <c r="C243" s="31"/>
      <c r="D243" s="31"/>
      <c r="E243" s="31"/>
      <c r="F243" s="31"/>
      <c r="G243" s="31"/>
      <c r="H243" s="31"/>
      <c r="I243" s="31"/>
      <c r="J243" s="31"/>
      <c r="K243" s="31"/>
      <c r="L243" s="31"/>
      <c r="M243" s="31"/>
      <c r="N243" s="31"/>
      <c r="O243" s="31"/>
      <c r="P243" s="31"/>
      <c r="Q243" s="31"/>
      <c r="R243" s="31"/>
      <c r="S243" s="31"/>
      <c r="T243" s="31"/>
      <c r="U243" s="31"/>
    </row>
    <row r="244" spans="1:21">
      <c r="A244" s="31"/>
      <c r="B244" s="31"/>
      <c r="C244" s="31"/>
      <c r="D244" s="31"/>
      <c r="E244" s="31"/>
      <c r="F244" s="31"/>
      <c r="G244" s="31"/>
      <c r="H244" s="31"/>
      <c r="I244" s="31"/>
      <c r="J244" s="31"/>
      <c r="K244" s="31"/>
      <c r="L244" s="31"/>
      <c r="M244" s="31"/>
      <c r="N244" s="31"/>
      <c r="O244" s="31"/>
      <c r="P244" s="31"/>
      <c r="Q244" s="31"/>
      <c r="R244" s="31"/>
      <c r="S244" s="31"/>
      <c r="T244" s="31"/>
      <c r="U244" s="31"/>
    </row>
    <row r="245" spans="1:21">
      <c r="A245" s="31"/>
      <c r="B245" s="31"/>
      <c r="C245" s="31"/>
      <c r="D245" s="31"/>
      <c r="E245" s="31"/>
      <c r="F245" s="31"/>
      <c r="G245" s="31"/>
      <c r="H245" s="31"/>
      <c r="I245" s="31"/>
      <c r="J245" s="31"/>
      <c r="K245" s="31"/>
      <c r="L245" s="31"/>
      <c r="M245" s="31"/>
      <c r="N245" s="31"/>
      <c r="O245" s="31"/>
      <c r="P245" s="31"/>
      <c r="Q245" s="31"/>
      <c r="R245" s="31"/>
      <c r="S245" s="31"/>
      <c r="T245" s="31"/>
      <c r="U245" s="31"/>
    </row>
    <row r="246" spans="1:21">
      <c r="A246" s="31"/>
      <c r="B246" s="31"/>
      <c r="C246" s="31"/>
      <c r="D246" s="31"/>
      <c r="E246" s="31"/>
      <c r="F246" s="31"/>
      <c r="G246" s="31"/>
      <c r="H246" s="31"/>
      <c r="I246" s="31"/>
      <c r="J246" s="31"/>
      <c r="K246" s="31"/>
      <c r="L246" s="31"/>
      <c r="M246" s="31"/>
      <c r="N246" s="31"/>
      <c r="O246" s="31"/>
      <c r="P246" s="31"/>
      <c r="Q246" s="31"/>
      <c r="R246" s="31"/>
      <c r="S246" s="31"/>
      <c r="T246" s="31"/>
      <c r="U246" s="31"/>
    </row>
    <row r="247" spans="1:21">
      <c r="A247" s="31"/>
      <c r="B247" s="31"/>
      <c r="C247" s="31"/>
      <c r="D247" s="31"/>
      <c r="E247" s="31"/>
      <c r="F247" s="31"/>
      <c r="G247" s="31"/>
      <c r="H247" s="31"/>
      <c r="I247" s="31"/>
      <c r="J247" s="31"/>
      <c r="K247" s="31"/>
    </row>
    <row r="248" spans="1:21">
      <c r="A248" s="31"/>
      <c r="B248" s="31"/>
      <c r="C248" s="31"/>
      <c r="D248" s="31"/>
      <c r="E248" s="31"/>
      <c r="F248" s="31"/>
      <c r="G248" s="31"/>
      <c r="H248" s="31"/>
      <c r="I248" s="31"/>
      <c r="J248" s="31"/>
      <c r="K248" s="31"/>
    </row>
    <row r="249" spans="1:21">
      <c r="A249" s="31"/>
      <c r="B249" s="31"/>
      <c r="C249" s="31"/>
      <c r="D249" s="31"/>
      <c r="E249" s="31"/>
      <c r="F249" s="31"/>
      <c r="G249" s="31"/>
      <c r="H249" s="31"/>
      <c r="I249" s="31"/>
    </row>
    <row r="250" spans="1:21">
      <c r="A250" s="31"/>
      <c r="B250" s="31"/>
      <c r="C250" s="31"/>
      <c r="D250" s="31"/>
      <c r="E250" s="31"/>
      <c r="F250" s="31"/>
      <c r="G250" s="31"/>
      <c r="H250" s="31"/>
      <c r="I250" s="31"/>
    </row>
    <row r="251" spans="1:21">
      <c r="A251" s="31"/>
      <c r="B251" s="31"/>
      <c r="C251" s="31"/>
      <c r="D251" s="31"/>
      <c r="E251" s="31"/>
      <c r="F251" s="31"/>
      <c r="G251" s="31"/>
      <c r="H251" s="31"/>
      <c r="I251" s="31"/>
    </row>
    <row r="252" spans="1:21">
      <c r="A252" s="31"/>
      <c r="B252" s="31"/>
      <c r="C252" s="31"/>
      <c r="D252" s="31"/>
      <c r="E252" s="31"/>
      <c r="F252" s="31"/>
      <c r="G252" s="31"/>
      <c r="H252" s="31"/>
      <c r="I252" s="31"/>
    </row>
    <row r="253" spans="1:21">
      <c r="A253" s="31"/>
      <c r="B253" s="31"/>
      <c r="C253" s="31"/>
      <c r="D253" s="31"/>
      <c r="E253" s="31"/>
      <c r="F253" s="31"/>
      <c r="G253" s="31"/>
      <c r="H253" s="31"/>
      <c r="I253" s="31"/>
    </row>
    <row r="254" spans="1:21">
      <c r="A254" s="31"/>
      <c r="B254" s="31"/>
      <c r="C254" s="31"/>
      <c r="D254" s="31"/>
      <c r="E254" s="31"/>
      <c r="F254" s="31"/>
      <c r="G254" s="31"/>
      <c r="H254" s="31"/>
      <c r="I254" s="31"/>
    </row>
    <row r="255" spans="1:21">
      <c r="A255" s="31"/>
      <c r="B255" s="31"/>
      <c r="C255" s="31"/>
      <c r="D255" s="31"/>
      <c r="E255" s="31"/>
      <c r="F255" s="31"/>
      <c r="G255" s="31"/>
      <c r="H255" s="31"/>
      <c r="I255" s="31"/>
    </row>
    <row r="256" spans="1:21">
      <c r="A256" s="31"/>
      <c r="B256" s="31"/>
      <c r="C256" s="31"/>
      <c r="D256" s="31"/>
      <c r="E256" s="31"/>
      <c r="F256" s="31"/>
      <c r="G256" s="31"/>
      <c r="H256" s="31"/>
      <c r="I256" s="31"/>
    </row>
    <row r="257" spans="1:9">
      <c r="A257" s="31"/>
      <c r="B257" s="31"/>
      <c r="C257" s="31"/>
      <c r="D257" s="31"/>
      <c r="E257" s="31"/>
      <c r="F257" s="31"/>
      <c r="G257" s="31"/>
      <c r="H257" s="31"/>
      <c r="I257" s="31"/>
    </row>
    <row r="258" spans="1:9">
      <c r="A258" s="31"/>
      <c r="B258" s="31"/>
      <c r="C258" s="31"/>
      <c r="D258" s="31"/>
      <c r="E258" s="31"/>
      <c r="F258" s="31"/>
      <c r="G258" s="31"/>
      <c r="H258" s="31"/>
      <c r="I258" s="31"/>
    </row>
    <row r="259" spans="1:9">
      <c r="A259" s="31"/>
      <c r="B259" s="31"/>
      <c r="C259" s="31"/>
      <c r="D259" s="31"/>
      <c r="E259" s="31"/>
      <c r="F259" s="31"/>
      <c r="G259" s="31"/>
      <c r="H259" s="31"/>
      <c r="I259" s="31"/>
    </row>
    <row r="260" spans="1:9">
      <c r="A260" s="31"/>
      <c r="B260" s="31"/>
      <c r="C260" s="31"/>
      <c r="D260" s="31"/>
      <c r="E260" s="31"/>
      <c r="F260" s="31"/>
      <c r="G260" s="31"/>
      <c r="H260" s="31"/>
      <c r="I260" s="31"/>
    </row>
    <row r="261" spans="1:9">
      <c r="A261" s="31"/>
      <c r="B261" s="31"/>
      <c r="C261" s="31"/>
      <c r="D261" s="31"/>
      <c r="E261" s="31"/>
      <c r="F261" s="31"/>
      <c r="G261" s="31"/>
      <c r="H261" s="31"/>
      <c r="I261" s="31"/>
    </row>
    <row r="262" spans="1:9">
      <c r="A262" s="31"/>
      <c r="B262" s="31"/>
      <c r="C262" s="31"/>
      <c r="D262" s="31"/>
      <c r="E262" s="31"/>
      <c r="F262" s="31"/>
      <c r="G262" s="31"/>
      <c r="H262" s="31"/>
      <c r="I262" s="31"/>
    </row>
    <row r="263" spans="1:9">
      <c r="A263" s="31"/>
      <c r="B263" s="31"/>
      <c r="C263" s="31"/>
      <c r="D263" s="31"/>
      <c r="E263" s="31"/>
      <c r="F263" s="31"/>
      <c r="G263" s="31"/>
      <c r="H263" s="31"/>
      <c r="I263" s="31"/>
    </row>
    <row r="264" spans="1:9">
      <c r="A264" s="31"/>
      <c r="B264" s="31"/>
      <c r="C264" s="31"/>
      <c r="D264" s="31"/>
      <c r="E264" s="31"/>
      <c r="F264" s="31"/>
      <c r="G264" s="31"/>
      <c r="H264" s="31"/>
      <c r="I264" s="31"/>
    </row>
    <row r="265" spans="1:9">
      <c r="A265" s="31"/>
      <c r="B265" s="31"/>
      <c r="C265" s="31"/>
      <c r="D265" s="31"/>
      <c r="E265" s="31"/>
      <c r="F265" s="31"/>
      <c r="G265" s="31"/>
      <c r="H265" s="31"/>
      <c r="I265" s="31"/>
    </row>
    <row r="266" spans="1:9">
      <c r="A266" s="31"/>
      <c r="B266" s="31"/>
      <c r="C266" s="31"/>
      <c r="D266" s="31"/>
      <c r="E266" s="31"/>
      <c r="F266" s="31"/>
      <c r="G266" s="31"/>
      <c r="H266" s="31"/>
      <c r="I266" s="31"/>
    </row>
    <row r="267" spans="1:9">
      <c r="A267" s="31"/>
      <c r="B267" s="31"/>
      <c r="C267" s="31"/>
      <c r="D267" s="31"/>
      <c r="E267" s="31"/>
      <c r="F267" s="31"/>
      <c r="G267" s="31"/>
      <c r="H267" s="31"/>
      <c r="I267" s="31"/>
    </row>
    <row r="268" spans="1:9">
      <c r="A268" s="31"/>
      <c r="B268" s="31"/>
      <c r="C268" s="31"/>
      <c r="D268" s="31"/>
      <c r="E268" s="31"/>
      <c r="F268" s="31"/>
      <c r="G268" s="31"/>
      <c r="H268" s="31"/>
      <c r="I268" s="31"/>
    </row>
    <row r="269" spans="1:9">
      <c r="A269" s="31"/>
      <c r="B269" s="31"/>
      <c r="C269" s="31"/>
      <c r="D269" s="31"/>
      <c r="E269" s="31"/>
      <c r="F269" s="31"/>
      <c r="G269" s="31"/>
      <c r="H269" s="31"/>
      <c r="I269" s="31"/>
    </row>
    <row r="270" spans="1:9">
      <c r="A270" s="31"/>
      <c r="B270" s="31"/>
      <c r="C270" s="31"/>
      <c r="D270" s="31"/>
      <c r="E270" s="31"/>
      <c r="F270" s="31"/>
      <c r="G270" s="31"/>
      <c r="H270" s="31"/>
      <c r="I270" s="31"/>
    </row>
    <row r="271" spans="1:9">
      <c r="A271" s="31"/>
      <c r="B271" s="31"/>
      <c r="C271" s="31"/>
      <c r="D271" s="31"/>
      <c r="E271" s="31"/>
      <c r="F271" s="31"/>
      <c r="G271" s="31"/>
      <c r="H271" s="31"/>
      <c r="I271" s="31"/>
    </row>
  </sheetData>
  <sheetProtection password="AC08" sheet="1"/>
  <mergeCells count="28">
    <mergeCell ref="A3:K3"/>
    <mergeCell ref="A4:K4"/>
    <mergeCell ref="C6:C7"/>
    <mergeCell ref="E6:E7"/>
    <mergeCell ref="G6:G7"/>
    <mergeCell ref="H27:H28"/>
    <mergeCell ref="I27:I28"/>
    <mergeCell ref="E27:E28"/>
    <mergeCell ref="G27:G28"/>
    <mergeCell ref="F6:F7"/>
    <mergeCell ref="J6:J7"/>
    <mergeCell ref="C43:E43"/>
    <mergeCell ref="B37:K37"/>
    <mergeCell ref="B38:K38"/>
    <mergeCell ref="K6:K7"/>
    <mergeCell ref="H6:H7"/>
    <mergeCell ref="I6:I7"/>
    <mergeCell ref="D6:D7"/>
    <mergeCell ref="B39:K39"/>
    <mergeCell ref="B9:B10"/>
    <mergeCell ref="A9:A10"/>
    <mergeCell ref="C44:E44"/>
    <mergeCell ref="K27:K28"/>
    <mergeCell ref="A26:K26"/>
    <mergeCell ref="J27:J28"/>
    <mergeCell ref="C27:C28"/>
    <mergeCell ref="D27:D28"/>
    <mergeCell ref="F27:F28"/>
  </mergeCells>
  <phoneticPr fontId="0" type="noConversion"/>
  <printOptions horizontalCentered="1"/>
  <pageMargins left="1" right="0.15748031496062992" top="0.19685039370078741" bottom="0.78740157480314965" header="0.19685039370078741" footer="0.39370078740157483"/>
  <pageSetup scale="72" orientation="portrait" horizontalDpi="360" verticalDpi="360" r:id="rId1"/>
  <headerFooter alignWithMargins="0">
    <oddFooter>&amp;C&amp;"Times New Roman,Negrita"&amp;14Pág. &amp;P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A3A1-93CE-4838-A1E3-45852F934017}">
  <sheetPr codeName="Hoja15">
    <pageSetUpPr fitToPage="1"/>
  </sheetPr>
  <dimension ref="A1:S67"/>
  <sheetViews>
    <sheetView workbookViewId="0">
      <pane ySplit="5" topLeftCell="A6" activePane="bottomLeft" state="frozen"/>
      <selection sqref="A1:IV1"/>
      <selection pane="bottomLeft" activeCell="G1" sqref="G1:G65536"/>
    </sheetView>
  </sheetViews>
  <sheetFormatPr defaultColWidth="10" defaultRowHeight="12.75"/>
  <cols>
    <col min="1" max="1" width="10" style="169" customWidth="1"/>
    <col min="2" max="2" width="32.625" style="169" customWidth="1"/>
    <col min="3" max="3" width="17.75" style="169" customWidth="1"/>
    <col min="4" max="4" width="20.625" style="169" customWidth="1"/>
    <col min="5" max="5" width="22.375" style="169" customWidth="1"/>
    <col min="6" max="6" width="15.375" style="169" hidden="1" customWidth="1"/>
    <col min="7" max="7" width="13.5" style="169" hidden="1" customWidth="1"/>
    <col min="8" max="16384" width="10" style="169"/>
  </cols>
  <sheetData>
    <row r="1" spans="1:9" s="575" customFormat="1" ht="28.5" thickBot="1">
      <c r="A1" s="572" t="s">
        <v>32</v>
      </c>
      <c r="B1" s="572"/>
      <c r="C1" s="572"/>
      <c r="D1" s="572"/>
      <c r="E1" s="586" t="str">
        <f>'ING. GASTO'!K1</f>
        <v>Presupuesto Ordinario 2013</v>
      </c>
      <c r="F1" s="1357" t="s">
        <v>621</v>
      </c>
    </row>
    <row r="2" spans="1:9" customFormat="1" ht="15.75"/>
    <row r="3" spans="1:9" customFormat="1" ht="18.75">
      <c r="A3" s="1437" t="s">
        <v>544</v>
      </c>
      <c r="B3" s="1437"/>
      <c r="C3" s="1437"/>
      <c r="D3" s="1437"/>
      <c r="E3" s="1437"/>
      <c r="F3" s="240"/>
      <c r="G3" s="240"/>
      <c r="H3" s="240"/>
      <c r="I3" s="240"/>
    </row>
    <row r="4" spans="1:9" customFormat="1" ht="13.5" customHeight="1">
      <c r="A4" s="86"/>
      <c r="B4" s="86"/>
      <c r="C4" s="86"/>
      <c r="D4" s="86"/>
    </row>
    <row r="5" spans="1:9" customFormat="1" ht="18.75">
      <c r="A5" s="1442" t="s">
        <v>549</v>
      </c>
      <c r="B5" s="1442"/>
      <c r="C5" s="1442"/>
      <c r="D5" s="1442"/>
      <c r="E5" s="1442"/>
    </row>
    <row r="6" spans="1:9" customFormat="1" ht="16.5">
      <c r="A6" s="1444" t="s">
        <v>1309</v>
      </c>
      <c r="B6" s="1444"/>
      <c r="C6" s="1444"/>
      <c r="D6" s="1444"/>
      <c r="E6" s="1444"/>
    </row>
    <row r="7" spans="1:9" ht="15" customHeight="1">
      <c r="A7" s="168"/>
      <c r="B7" s="168"/>
      <c r="C7" s="168"/>
      <c r="D7" s="168"/>
      <c r="E7" s="168"/>
    </row>
    <row r="8" spans="1:9" ht="16.5">
      <c r="A8" s="241" t="s">
        <v>622</v>
      </c>
      <c r="B8" s="17"/>
      <c r="C8" s="168"/>
      <c r="D8" s="168"/>
      <c r="E8" s="180">
        <f>[12]ESTIMACION!$F$308</f>
        <v>6132696500</v>
      </c>
    </row>
    <row r="9" spans="1:9" ht="15.75">
      <c r="B9" s="17"/>
      <c r="C9" s="168"/>
      <c r="D9" s="168"/>
      <c r="E9" s="87"/>
    </row>
    <row r="10" spans="1:9" ht="16.5">
      <c r="A10" s="241" t="s">
        <v>550</v>
      </c>
      <c r="B10" s="17"/>
      <c r="C10" s="168"/>
      <c r="D10" s="168"/>
    </row>
    <row r="11" spans="1:9" s="168" customFormat="1" ht="15.75">
      <c r="A11" s="952" t="s">
        <v>1294</v>
      </c>
      <c r="B11" s="952"/>
      <c r="C11" s="952"/>
      <c r="D11" s="17">
        <f>F11*24%</f>
        <v>1920</v>
      </c>
      <c r="E11" s="17"/>
      <c r="F11" s="456">
        <f>[12]ESTIMACION!$E$17</f>
        <v>8000</v>
      </c>
    </row>
    <row r="12" spans="1:9" s="168" customFormat="1" ht="18.75" customHeight="1">
      <c r="A12" s="952" t="s">
        <v>1293</v>
      </c>
      <c r="B12" s="952"/>
      <c r="C12" s="952"/>
      <c r="D12" s="17">
        <f>F12*14%</f>
        <v>151200000</v>
      </c>
      <c r="E12" s="18"/>
      <c r="F12" s="456">
        <f>[12]ESTIMACION!$E$16</f>
        <v>1080000000</v>
      </c>
    </row>
    <row r="13" spans="1:9" s="168" customFormat="1" ht="18.75" customHeight="1">
      <c r="A13" s="952" t="s">
        <v>1295</v>
      </c>
      <c r="B13" s="952"/>
      <c r="C13" s="952"/>
      <c r="D13" s="17">
        <f>[12]ESTIMACION!$E$31</f>
        <v>1350000</v>
      </c>
      <c r="E13" s="18"/>
      <c r="F13" s="456"/>
      <c r="G13" s="943" t="s">
        <v>1302</v>
      </c>
    </row>
    <row r="14" spans="1:9" s="168" customFormat="1" ht="15.75" hidden="1" customHeight="1">
      <c r="A14" s="952" t="s">
        <v>115</v>
      </c>
      <c r="B14" s="952"/>
      <c r="C14" s="952"/>
      <c r="D14" s="171">
        <f>F14*50.5%</f>
        <v>0</v>
      </c>
      <c r="E14" s="17"/>
      <c r="F14" s="1025">
        <v>0</v>
      </c>
    </row>
    <row r="15" spans="1:9" s="168" customFormat="1" ht="15.75" hidden="1" customHeight="1">
      <c r="A15" s="952" t="s">
        <v>118</v>
      </c>
      <c r="B15" s="952"/>
      <c r="C15" s="952"/>
      <c r="D15" s="171">
        <f>F15*50.5%</f>
        <v>0</v>
      </c>
      <c r="E15" s="17"/>
      <c r="F15" s="1025">
        <v>0</v>
      </c>
    </row>
    <row r="16" spans="1:9" s="168" customFormat="1" ht="15.75">
      <c r="A16" s="952" t="s">
        <v>114</v>
      </c>
      <c r="B16" s="952"/>
      <c r="C16" s="952"/>
      <c r="D16" s="17">
        <f>[12]ESTIMACION!$E$39</f>
        <v>13000000</v>
      </c>
      <c r="E16" s="17"/>
      <c r="F16" s="170"/>
    </row>
    <row r="17" spans="1:6" s="168" customFormat="1" ht="15.75">
      <c r="A17" s="952" t="s">
        <v>48</v>
      </c>
      <c r="B17" s="952"/>
      <c r="C17" s="952"/>
      <c r="D17" s="17">
        <f>[12]ESTIMACION!$E$54</f>
        <v>21150000</v>
      </c>
      <c r="E17" s="17"/>
      <c r="F17" s="170"/>
    </row>
    <row r="18" spans="1:6" s="168" customFormat="1" ht="15.75" hidden="1" customHeight="1">
      <c r="A18" s="953" t="s">
        <v>1296</v>
      </c>
      <c r="B18" s="952"/>
      <c r="C18" s="952"/>
      <c r="D18" s="17"/>
      <c r="E18" s="17"/>
      <c r="F18" s="170"/>
    </row>
    <row r="19" spans="1:6" s="168" customFormat="1" ht="15.75" hidden="1" customHeight="1">
      <c r="A19" s="953" t="s">
        <v>1297</v>
      </c>
      <c r="B19" s="952"/>
      <c r="C19" s="952"/>
      <c r="D19" s="17"/>
      <c r="E19" s="17"/>
      <c r="F19" s="170"/>
    </row>
    <row r="20" spans="1:6" s="168" customFormat="1" ht="15.75" hidden="1" customHeight="1">
      <c r="A20" s="953" t="s">
        <v>1298</v>
      </c>
      <c r="B20" s="952"/>
      <c r="C20" s="952"/>
      <c r="D20" s="17"/>
      <c r="E20" s="17"/>
      <c r="F20" s="170"/>
    </row>
    <row r="21" spans="1:6" s="168" customFormat="1" ht="33" customHeight="1">
      <c r="A21" s="1443" t="s">
        <v>623</v>
      </c>
      <c r="B21" s="1443"/>
      <c r="C21" s="1443"/>
      <c r="D21" s="17">
        <f>[12]ESTIMACION!$E$259</f>
        <v>3776950</v>
      </c>
      <c r="E21" s="17"/>
      <c r="F21" s="170"/>
    </row>
    <row r="22" spans="1:6" s="168" customFormat="1" ht="15.75" hidden="1" customHeight="1">
      <c r="A22" s="953" t="s">
        <v>1299</v>
      </c>
      <c r="B22" s="954"/>
      <c r="C22" s="954"/>
      <c r="D22" s="17"/>
      <c r="E22" s="17"/>
      <c r="F22" s="170"/>
    </row>
    <row r="23" spans="1:6" s="168" customFormat="1" ht="15.75">
      <c r="A23" s="952" t="s">
        <v>116</v>
      </c>
      <c r="B23" s="952"/>
      <c r="C23" s="952"/>
      <c r="D23" s="17">
        <f>[12]ESTIMACION!$E$211</f>
        <v>24896500</v>
      </c>
      <c r="E23" s="17"/>
      <c r="F23" s="170"/>
    </row>
    <row r="24" spans="1:6" s="168" customFormat="1" ht="15.75">
      <c r="A24" s="952" t="s">
        <v>1067</v>
      </c>
      <c r="B24" s="952"/>
      <c r="C24" s="952"/>
      <c r="D24" s="171">
        <f>[12]ESTIMACION!$E$212</f>
        <v>2866659</v>
      </c>
      <c r="E24" s="17"/>
      <c r="F24" s="17"/>
    </row>
    <row r="25" spans="1:6" s="168" customFormat="1" ht="15.75">
      <c r="A25" s="952" t="s">
        <v>1303</v>
      </c>
      <c r="B25" s="952"/>
      <c r="C25" s="952"/>
      <c r="D25" s="171">
        <f>[12]ESTIMACION!$E$219+[12]ESTIMACION!$E$225+[12]ESTIMACION!$E$226+[12]ESTIMACION!$E$227</f>
        <v>0</v>
      </c>
      <c r="E25" s="17"/>
      <c r="F25" s="17">
        <f>D25+D28</f>
        <v>0</v>
      </c>
    </row>
    <row r="26" spans="1:6" s="168" customFormat="1" ht="15.75">
      <c r="A26" s="952" t="s">
        <v>117</v>
      </c>
      <c r="B26" s="952"/>
      <c r="C26" s="952"/>
      <c r="D26" s="17">
        <f>[12]ESTIMACION!$E$253</f>
        <v>1060000000</v>
      </c>
      <c r="E26" s="17"/>
      <c r="F26" s="170"/>
    </row>
    <row r="27" spans="1:6" s="168" customFormat="1" ht="15.75">
      <c r="A27" s="955" t="s">
        <v>625</v>
      </c>
      <c r="B27" s="952"/>
      <c r="C27" s="952"/>
      <c r="D27" s="17">
        <f>[12]ESTIMACION!$F$289</f>
        <v>900900000</v>
      </c>
      <c r="E27" s="17"/>
      <c r="F27" s="170"/>
    </row>
    <row r="28" spans="1:6" s="168" customFormat="1" ht="15.75">
      <c r="A28" s="955" t="s">
        <v>1304</v>
      </c>
      <c r="B28" s="952"/>
      <c r="C28" s="952"/>
      <c r="D28" s="17">
        <f>[12]ESTIMACION!$F$230</f>
        <v>0</v>
      </c>
      <c r="E28" s="17"/>
      <c r="F28" s="170"/>
    </row>
    <row r="29" spans="1:6" s="168" customFormat="1" ht="15.75" hidden="1">
      <c r="A29" s="953" t="s">
        <v>1300</v>
      </c>
      <c r="B29" s="952"/>
      <c r="C29" s="952"/>
      <c r="D29" s="17"/>
      <c r="E29" s="17"/>
      <c r="F29" s="170"/>
    </row>
    <row r="30" spans="1:6" s="168" customFormat="1" ht="15.75" hidden="1">
      <c r="A30" s="953" t="s">
        <v>1301</v>
      </c>
      <c r="B30" s="952"/>
      <c r="C30" s="952"/>
      <c r="D30" s="17"/>
      <c r="E30" s="17"/>
      <c r="F30" s="170"/>
    </row>
    <row r="31" spans="1:6" s="168" customFormat="1" ht="15.75" hidden="1" customHeight="1">
      <c r="A31" s="953" t="s">
        <v>1611</v>
      </c>
      <c r="B31" s="952"/>
      <c r="C31" s="952"/>
      <c r="D31" s="17"/>
      <c r="E31" s="17"/>
      <c r="F31" s="170"/>
    </row>
    <row r="32" spans="1:6" s="168" customFormat="1" ht="15.75">
      <c r="A32" s="952" t="s">
        <v>308</v>
      </c>
      <c r="B32" s="952"/>
      <c r="C32" s="952"/>
      <c r="D32" s="17">
        <f>[12]ESTIMACION!$E$130</f>
        <v>27500000</v>
      </c>
      <c r="E32" s="17"/>
      <c r="F32" s="170"/>
    </row>
    <row r="33" spans="1:7" s="168" customFormat="1" ht="15.75">
      <c r="A33" s="956" t="s">
        <v>119</v>
      </c>
      <c r="B33" s="956"/>
      <c r="C33" s="956"/>
      <c r="D33" s="18">
        <f>[12]ESTIMACION!$E$179</f>
        <v>90000000</v>
      </c>
      <c r="E33" s="18"/>
      <c r="F33" s="170"/>
    </row>
    <row r="34" spans="1:7" s="168" customFormat="1" ht="15.75">
      <c r="A34" s="952" t="s">
        <v>624</v>
      </c>
      <c r="B34" s="952"/>
      <c r="C34" s="952"/>
      <c r="D34" s="17">
        <f>[12]ESTIMACION!$F$303</f>
        <v>180000000</v>
      </c>
      <c r="E34" s="17"/>
      <c r="F34" s="170"/>
    </row>
    <row r="35" spans="1:7" ht="10.5" customHeight="1" thickBot="1">
      <c r="A35" s="270"/>
      <c r="B35" s="271"/>
      <c r="C35" s="270"/>
      <c r="D35" s="271"/>
      <c r="E35" s="270"/>
    </row>
    <row r="36" spans="1:7" s="172" customFormat="1" ht="25.5" customHeight="1" thickTop="1">
      <c r="A36" s="318" t="s">
        <v>551</v>
      </c>
      <c r="B36" s="319"/>
      <c r="C36" s="318"/>
      <c r="D36" s="319"/>
      <c r="E36" s="320">
        <f>SUM(D11:D34)</f>
        <v>2476642029</v>
      </c>
    </row>
    <row r="37" spans="1:7" ht="23.25" customHeight="1">
      <c r="A37" s="321" t="s">
        <v>552</v>
      </c>
      <c r="B37" s="322"/>
      <c r="C37" s="323"/>
      <c r="D37" s="323"/>
      <c r="E37" s="322">
        <f>E8-E36</f>
        <v>3656054471</v>
      </c>
      <c r="F37" s="433"/>
    </row>
    <row r="38" spans="1:7" s="172" customFormat="1" ht="23.25" customHeight="1">
      <c r="A38" s="321" t="s">
        <v>1612</v>
      </c>
      <c r="B38" s="324"/>
      <c r="C38" s="321"/>
      <c r="D38" s="321"/>
      <c r="E38" s="324">
        <f>SUM(E37*20%)</f>
        <v>731210894.20000005</v>
      </c>
      <c r="F38" s="432"/>
      <c r="G38" s="715"/>
    </row>
    <row r="39" spans="1:7" ht="23.25" customHeight="1" thickBot="1">
      <c r="A39" s="944" t="s">
        <v>1305</v>
      </c>
      <c r="B39" s="316"/>
      <c r="C39" s="315"/>
      <c r="D39" s="315"/>
      <c r="E39" s="316">
        <f>D54</f>
        <v>2162378390.4000001</v>
      </c>
      <c r="F39" s="172"/>
    </row>
    <row r="40" spans="1:7" ht="30" customHeight="1" thickTop="1" thickBot="1">
      <c r="A40" s="1441" t="s">
        <v>528</v>
      </c>
      <c r="B40" s="1441"/>
      <c r="C40" s="1441"/>
      <c r="D40" s="1441"/>
      <c r="E40" s="179"/>
      <c r="F40" s="172"/>
    </row>
    <row r="41" spans="1:7" s="385" customFormat="1" ht="29.25" customHeight="1" thickBot="1">
      <c r="A41" s="1439" t="s">
        <v>1306</v>
      </c>
      <c r="B41" s="1440"/>
      <c r="C41" s="945" t="s">
        <v>1307</v>
      </c>
      <c r="D41" s="946" t="s">
        <v>1308</v>
      </c>
      <c r="E41" s="170"/>
    </row>
    <row r="42" spans="1:7" ht="15.75">
      <c r="A42" s="173" t="s">
        <v>1115</v>
      </c>
      <c r="B42" s="174"/>
      <c r="C42" s="175" t="s">
        <v>122</v>
      </c>
      <c r="D42" s="26">
        <f>'ING. GASTO'!C35</f>
        <v>75937090</v>
      </c>
      <c r="E42" s="168"/>
    </row>
    <row r="43" spans="1:7" ht="15.75">
      <c r="A43" s="173" t="s">
        <v>1116</v>
      </c>
      <c r="B43" s="174"/>
      <c r="C43" s="175" t="s">
        <v>545</v>
      </c>
      <c r="D43" s="26">
        <f>'ING. GASTO'!D35</f>
        <v>288551500</v>
      </c>
      <c r="E43" s="168"/>
    </row>
    <row r="44" spans="1:7" ht="15.75">
      <c r="A44" s="173" t="s">
        <v>1117</v>
      </c>
      <c r="B44" s="174"/>
      <c r="C44" s="175" t="s">
        <v>123</v>
      </c>
      <c r="D44" s="26">
        <f>'ING. GASTO'!E35</f>
        <v>65295183</v>
      </c>
      <c r="E44" s="168"/>
    </row>
    <row r="45" spans="1:7" ht="15.75">
      <c r="A45" s="173" t="s">
        <v>257</v>
      </c>
      <c r="B45" s="174"/>
      <c r="C45" s="175" t="s">
        <v>258</v>
      </c>
      <c r="D45" s="26">
        <f>'ING. GASTO'!F35</f>
        <v>11236078</v>
      </c>
      <c r="E45" s="168"/>
    </row>
    <row r="46" spans="1:7" ht="15.75">
      <c r="A46" s="176" t="s">
        <v>1118</v>
      </c>
      <c r="B46" s="174"/>
      <c r="C46" s="175" t="s">
        <v>155</v>
      </c>
      <c r="D46" s="26">
        <f>'ING. GASTO'!G35</f>
        <v>71782666</v>
      </c>
      <c r="E46" s="168"/>
      <c r="F46" s="1026"/>
    </row>
    <row r="47" spans="1:7" ht="15.75" hidden="1">
      <c r="A47" s="176" t="s">
        <v>108</v>
      </c>
      <c r="B47" s="174"/>
      <c r="C47" s="175" t="s">
        <v>156</v>
      </c>
      <c r="D47" s="26">
        <f>'ING. GASTO'!H35</f>
        <v>0</v>
      </c>
      <c r="E47" s="168"/>
    </row>
    <row r="48" spans="1:7" ht="15.75">
      <c r="A48" s="176" t="s">
        <v>1055</v>
      </c>
      <c r="B48" s="174"/>
      <c r="C48" s="175" t="s">
        <v>1002</v>
      </c>
      <c r="D48" s="26">
        <f>'ING. GASTO'!I35</f>
        <v>471614106.39999998</v>
      </c>
      <c r="E48" s="168"/>
    </row>
    <row r="49" spans="1:19" ht="15.75">
      <c r="A49" s="176" t="s">
        <v>546</v>
      </c>
      <c r="B49" s="174"/>
      <c r="C49" s="175" t="s">
        <v>529</v>
      </c>
      <c r="D49" s="26">
        <f>[1]GASTOS!$AW$340</f>
        <v>44844389</v>
      </c>
      <c r="E49" s="168"/>
      <c r="F49" s="1026"/>
    </row>
    <row r="50" spans="1:19" ht="15.75">
      <c r="A50" s="176" t="s">
        <v>1311</v>
      </c>
      <c r="B50" s="174"/>
      <c r="C50" s="175" t="s">
        <v>1334</v>
      </c>
      <c r="D50" s="26">
        <v>900900000</v>
      </c>
      <c r="E50" s="168"/>
    </row>
    <row r="51" spans="1:19" ht="15.75">
      <c r="A51" s="176" t="s">
        <v>1353</v>
      </c>
      <c r="B51" s="174"/>
      <c r="C51" s="175" t="s">
        <v>1310</v>
      </c>
      <c r="D51" s="26">
        <v>50000000</v>
      </c>
      <c r="E51" s="168"/>
    </row>
    <row r="52" spans="1:19" ht="15.75">
      <c r="A52" s="176" t="s">
        <v>548</v>
      </c>
      <c r="B52" s="174"/>
      <c r="C52" s="175" t="s">
        <v>547</v>
      </c>
      <c r="D52" s="26">
        <f>'[1]DETALLE GASTOS'!E7</f>
        <v>151553895</v>
      </c>
      <c r="E52" s="168"/>
    </row>
    <row r="53" spans="1:19" ht="15.75">
      <c r="A53" s="278" t="s">
        <v>157</v>
      </c>
      <c r="B53" s="177"/>
      <c r="C53" s="178" t="s">
        <v>547</v>
      </c>
      <c r="D53" s="279">
        <f>'[1]DETALLE GASTOS'!E8</f>
        <v>30663483</v>
      </c>
      <c r="E53" s="168"/>
    </row>
    <row r="54" spans="1:19" ht="20.25" customHeight="1" thickBot="1">
      <c r="A54" s="947" t="s">
        <v>553</v>
      </c>
      <c r="B54" s="948"/>
      <c r="C54" s="949"/>
      <c r="D54" s="950">
        <f>SUM(D42:D53)</f>
        <v>2162378390.4000001</v>
      </c>
      <c r="E54" s="171"/>
    </row>
    <row r="55" spans="1:19" ht="21" customHeight="1" thickTop="1" thickBot="1">
      <c r="A55" s="951"/>
      <c r="B55" s="951"/>
      <c r="C55" s="951"/>
      <c r="D55" s="951"/>
      <c r="E55" s="951"/>
    </row>
    <row r="56" spans="1:19" s="172" customFormat="1" ht="23.25" customHeight="1" thickTop="1">
      <c r="A56" s="321" t="s">
        <v>120</v>
      </c>
      <c r="B56" s="324"/>
      <c r="C56" s="321"/>
      <c r="D56" s="321"/>
      <c r="E56" s="324">
        <f>SUM(E38-E39)</f>
        <v>-1431167496.2</v>
      </c>
    </row>
    <row r="57" spans="1:19" ht="21" customHeight="1">
      <c r="A57" s="321" t="s">
        <v>121</v>
      </c>
      <c r="B57" s="322"/>
      <c r="C57" s="323"/>
      <c r="D57" s="323"/>
      <c r="E57" s="325">
        <f>SUM(E39/E37)</f>
        <v>0.59145136035365165</v>
      </c>
      <c r="F57" s="172"/>
    </row>
    <row r="58" spans="1:19" ht="7.5" customHeight="1" thickBot="1">
      <c r="A58" s="315"/>
      <c r="B58" s="316"/>
      <c r="C58" s="315"/>
      <c r="D58" s="315"/>
      <c r="E58" s="317"/>
      <c r="F58" s="172"/>
    </row>
    <row r="59" spans="1:19" ht="16.5" thickTop="1">
      <c r="A59" s="168"/>
      <c r="B59" s="17"/>
      <c r="C59" s="168"/>
      <c r="D59" s="168"/>
      <c r="E59" s="88"/>
      <c r="F59" s="172"/>
    </row>
    <row r="61" spans="1:19" s="32" customFormat="1" ht="15.75">
      <c r="A61" s="299" t="s">
        <v>1243</v>
      </c>
      <c r="D61" s="298">
        <v>41179</v>
      </c>
      <c r="E61" s="169"/>
      <c r="H61" s="297"/>
      <c r="I61" s="31"/>
      <c r="J61" s="31"/>
      <c r="K61" s="31"/>
      <c r="L61" s="31"/>
      <c r="M61" s="31"/>
      <c r="N61" s="31"/>
      <c r="O61" s="31"/>
      <c r="P61" s="31"/>
      <c r="Q61" s="31"/>
      <c r="R61" s="31"/>
      <c r="S61" s="31"/>
    </row>
    <row r="62" spans="1:19" s="32" customFormat="1" ht="15.75">
      <c r="A62" s="223" t="s">
        <v>629</v>
      </c>
      <c r="B62" s="719" t="s">
        <v>1068</v>
      </c>
      <c r="D62" s="49" t="s">
        <v>628</v>
      </c>
      <c r="E62" s="169"/>
      <c r="H62" s="77"/>
      <c r="I62" s="31"/>
      <c r="J62" s="31"/>
      <c r="K62" s="31"/>
      <c r="L62" s="31"/>
      <c r="M62" s="31"/>
      <c r="N62" s="31"/>
      <c r="O62" s="31"/>
      <c r="P62" s="31"/>
      <c r="Q62" s="31"/>
      <c r="R62" s="31"/>
      <c r="S62" s="31"/>
    </row>
    <row r="65" spans="2:4" ht="15.75">
      <c r="B65" s="1315"/>
      <c r="D65" s="298">
        <v>41180</v>
      </c>
    </row>
    <row r="66" spans="2:4">
      <c r="B66" s="1314" t="s">
        <v>1614</v>
      </c>
      <c r="D66" s="49" t="s">
        <v>628</v>
      </c>
    </row>
    <row r="67" spans="2:4">
      <c r="B67" s="1316" t="s">
        <v>1613</v>
      </c>
    </row>
  </sheetData>
  <sheetProtection password="AC08" sheet="1"/>
  <mergeCells count="6">
    <mergeCell ref="A41:B41"/>
    <mergeCell ref="A40:D40"/>
    <mergeCell ref="A3:E3"/>
    <mergeCell ref="A5:E5"/>
    <mergeCell ref="A21:C21"/>
    <mergeCell ref="A6:E6"/>
  </mergeCells>
  <phoneticPr fontId="12" type="noConversion"/>
  <printOptions horizontalCentered="1"/>
  <pageMargins left="1.1417322834645669" right="0.55118110236220474" top="0.19685039370078741" bottom="0.86614173228346458" header="0.19685039370078741" footer="0.39370078740157483"/>
  <pageSetup scale="74" orientation="portrait" horizontalDpi="360" verticalDpi="360" r:id="rId1"/>
  <headerFooter alignWithMargins="0">
    <oddFooter>&amp;C&amp;"Times New Roman,Negrita"&amp;13Pág.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43264-8B2B-4BC3-96FA-5B0FB80D402A}">
  <sheetPr codeName="Hoja14"/>
  <dimension ref="A1:M38"/>
  <sheetViews>
    <sheetView showGridLines="0" zoomScale="90" workbookViewId="0"/>
  </sheetViews>
  <sheetFormatPr defaultColWidth="11" defaultRowHeight="15.75"/>
  <cols>
    <col min="1" max="1" width="6.625" style="457" customWidth="1"/>
    <col min="2" max="2" width="16.75" style="457" customWidth="1"/>
    <col min="3" max="3" width="15.875" style="457" customWidth="1"/>
    <col min="4" max="4" width="15.375" style="457" customWidth="1"/>
    <col min="5" max="5" width="12" style="457" customWidth="1"/>
    <col min="6" max="6" width="16.375" style="457" customWidth="1"/>
    <col min="7" max="7" width="14.25" style="457" hidden="1" customWidth="1"/>
    <col min="8" max="8" width="11.25" style="458" hidden="1" customWidth="1"/>
    <col min="9" max="9" width="12" style="457" hidden="1" customWidth="1"/>
    <col min="10" max="10" width="15.25" style="457" hidden="1" customWidth="1"/>
    <col min="11" max="11" width="12.875" style="457" hidden="1" customWidth="1"/>
    <col min="12" max="12" width="12.625" style="457" hidden="1" customWidth="1"/>
    <col min="13" max="15" width="0" style="457" hidden="1" customWidth="1"/>
    <col min="16" max="16384" width="11" style="457"/>
  </cols>
  <sheetData>
    <row r="1" spans="1:13" s="596" customFormat="1" ht="26.25" thickBot="1">
      <c r="A1" s="592" t="str">
        <f>'ING. GASTO'!A1</f>
        <v>Municipalidad de Pérez Zeledón</v>
      </c>
      <c r="B1" s="593"/>
      <c r="C1" s="593"/>
      <c r="D1" s="593"/>
      <c r="E1" s="593"/>
      <c r="F1" s="594" t="str">
        <f>'ING. GASTO'!K1</f>
        <v>Presupuesto Ordinario 2013</v>
      </c>
      <c r="G1" s="1021" t="s">
        <v>621</v>
      </c>
      <c r="H1" s="595"/>
    </row>
    <row r="2" spans="1:13" ht="24.75" customHeight="1"/>
    <row r="3" spans="1:13" ht="18.75" customHeight="1">
      <c r="A3" s="1446" t="s">
        <v>581</v>
      </c>
      <c r="B3" s="1446"/>
      <c r="C3" s="1446"/>
      <c r="D3" s="1446"/>
      <c r="E3" s="1446"/>
      <c r="F3" s="1446"/>
    </row>
    <row r="4" spans="1:13" ht="18.75" customHeight="1">
      <c r="A4" s="459"/>
      <c r="B4" s="459"/>
      <c r="C4" s="459"/>
      <c r="D4" s="459"/>
      <c r="E4" s="459"/>
      <c r="F4" s="460"/>
    </row>
    <row r="5" spans="1:13" ht="18.75">
      <c r="A5" s="1447" t="s">
        <v>15</v>
      </c>
      <c r="B5" s="1447"/>
      <c r="C5" s="1447"/>
      <c r="D5" s="1447"/>
      <c r="E5" s="1447"/>
      <c r="F5" s="1447"/>
    </row>
    <row r="6" spans="1:13">
      <c r="A6" s="461"/>
      <c r="B6" s="461"/>
      <c r="C6" s="461"/>
      <c r="D6" s="461"/>
      <c r="E6" s="461"/>
      <c r="F6" s="462"/>
    </row>
    <row r="7" spans="1:13" ht="16.5" thickBot="1">
      <c r="A7" s="453"/>
      <c r="B7" s="453"/>
      <c r="C7" s="453"/>
      <c r="D7" s="453"/>
      <c r="E7" s="453"/>
      <c r="F7" s="463"/>
    </row>
    <row r="8" spans="1:13" ht="23.25" customHeight="1">
      <c r="A8" s="786" t="s">
        <v>554</v>
      </c>
      <c r="B8" s="464"/>
      <c r="C8" s="464"/>
      <c r="D8" s="464"/>
      <c r="E8" s="464"/>
      <c r="F8" s="787">
        <f>INGRESOS!C160</f>
        <v>4688000000</v>
      </c>
    </row>
    <row r="9" spans="1:13" ht="23.25" customHeight="1">
      <c r="A9" s="788" t="s">
        <v>555</v>
      </c>
      <c r="B9" s="465"/>
      <c r="C9" s="465"/>
      <c r="D9" s="465"/>
      <c r="E9" s="465"/>
      <c r="F9" s="789">
        <f>INGRESOS!C154</f>
        <v>5051796500</v>
      </c>
      <c r="H9" s="771" t="s">
        <v>1184</v>
      </c>
      <c r="I9" s="772"/>
      <c r="J9" s="772"/>
    </row>
    <row r="10" spans="1:13" s="467" customFormat="1" ht="37.5" customHeight="1" thickBot="1">
      <c r="A10" s="790" t="s">
        <v>556</v>
      </c>
      <c r="B10" s="466"/>
      <c r="C10" s="466"/>
      <c r="D10" s="466"/>
      <c r="E10" s="466"/>
      <c r="F10" s="791">
        <f>(F9-F8)/F8</f>
        <v>7.7601642491467573E-2</v>
      </c>
      <c r="H10" s="772" t="s">
        <v>1185</v>
      </c>
      <c r="I10" s="772"/>
      <c r="J10" s="772"/>
    </row>
    <row r="11" spans="1:13" s="467" customFormat="1" ht="44.25" customHeight="1" thickBot="1">
      <c r="A11" s="468" t="s">
        <v>1354</v>
      </c>
      <c r="B11" s="469"/>
      <c r="C11" s="469"/>
      <c r="D11" s="469"/>
      <c r="E11" s="469"/>
      <c r="F11" s="470">
        <f>H18</f>
        <v>5.5E-2</v>
      </c>
    </row>
    <row r="12" spans="1:13" s="471" customFormat="1" ht="34.5" customHeight="1">
      <c r="A12" s="1448" t="s">
        <v>557</v>
      </c>
      <c r="B12" s="1449"/>
      <c r="C12" s="522" t="s">
        <v>558</v>
      </c>
      <c r="D12" s="522" t="s">
        <v>560</v>
      </c>
      <c r="E12" s="1279" t="s">
        <v>1561</v>
      </c>
      <c r="F12" s="523" t="s">
        <v>40</v>
      </c>
    </row>
    <row r="13" spans="1:13" s="471" customFormat="1" ht="15.75" customHeight="1" thickBot="1">
      <c r="A13" s="1450"/>
      <c r="B13" s="1451"/>
      <c r="C13" s="524" t="s">
        <v>559</v>
      </c>
      <c r="D13" s="524" t="s">
        <v>163</v>
      </c>
      <c r="E13" s="524" t="s">
        <v>164</v>
      </c>
      <c r="F13" s="525" t="s">
        <v>161</v>
      </c>
      <c r="H13" s="1452" t="s">
        <v>1144</v>
      </c>
      <c r="I13" s="1452"/>
    </row>
    <row r="14" spans="1:13" ht="19.5" thickBot="1">
      <c r="A14" s="472"/>
      <c r="B14" s="473"/>
      <c r="C14" s="474"/>
      <c r="D14" s="474"/>
      <c r="E14" s="474"/>
      <c r="F14" s="475"/>
      <c r="H14" s="1452"/>
      <c r="I14" s="1452"/>
    </row>
    <row r="15" spans="1:13">
      <c r="A15" s="476" t="s">
        <v>90</v>
      </c>
      <c r="B15" s="477" t="s">
        <v>165</v>
      </c>
      <c r="C15" s="478"/>
      <c r="D15" s="478"/>
      <c r="E15" s="478"/>
      <c r="F15" s="479"/>
      <c r="H15" s="480"/>
      <c r="I15" s="481"/>
    </row>
    <row r="16" spans="1:13">
      <c r="A16" s="476"/>
      <c r="B16" s="477" t="s">
        <v>166</v>
      </c>
      <c r="C16" s="482">
        <f>H16</f>
        <v>31162.6</v>
      </c>
      <c r="D16" s="482">
        <f>H21</f>
        <v>32876.549999999996</v>
      </c>
      <c r="E16" s="483">
        <v>76</v>
      </c>
      <c r="F16" s="475">
        <f>D16*A15*E16</f>
        <v>22487560.199999996</v>
      </c>
      <c r="H16" s="484">
        <v>31162.6</v>
      </c>
      <c r="I16" s="485" t="s">
        <v>30</v>
      </c>
      <c r="J16" s="458">
        <f>C16*$H$18%+C16</f>
        <v>31179.739429999998</v>
      </c>
      <c r="K16" s="486">
        <f>D16-J16</f>
        <v>1696.8105699999978</v>
      </c>
      <c r="L16" s="486">
        <f>SUM(J16:K16)</f>
        <v>32876.549999999996</v>
      </c>
      <c r="M16" s="487">
        <f>L16-D16</f>
        <v>0</v>
      </c>
    </row>
    <row r="17" spans="1:13">
      <c r="A17" s="476"/>
      <c r="B17" s="477"/>
      <c r="C17" s="482"/>
      <c r="D17" s="482"/>
      <c r="E17" s="488"/>
      <c r="F17" s="475"/>
      <c r="H17" s="489"/>
      <c r="I17" s="490"/>
    </row>
    <row r="18" spans="1:13">
      <c r="A18" s="476" t="s">
        <v>90</v>
      </c>
      <c r="B18" s="477" t="s">
        <v>165</v>
      </c>
      <c r="C18" s="491"/>
      <c r="D18" s="491"/>
      <c r="E18" s="492"/>
      <c r="F18" s="479"/>
      <c r="H18" s="493">
        <v>5.5E-2</v>
      </c>
      <c r="I18" s="485" t="s">
        <v>1072</v>
      </c>
    </row>
    <row r="19" spans="1:13">
      <c r="A19" s="476"/>
      <c r="B19" s="477" t="s">
        <v>167</v>
      </c>
      <c r="C19" s="482">
        <f>INT(((C16/2)/5)*100+0.5)*0.05</f>
        <v>15581.300000000001</v>
      </c>
      <c r="D19" s="482">
        <f>INT(((D16/2)/5)*100+0.5)*0.05</f>
        <v>16438.3</v>
      </c>
      <c r="E19" s="483">
        <f>E16</f>
        <v>76</v>
      </c>
      <c r="F19" s="475">
        <f>D19*A18*E19</f>
        <v>11243797.199999999</v>
      </c>
      <c r="H19" s="494">
        <f>INT(((H16*H18)/5)*100+0.5)*0.05</f>
        <v>1713.95</v>
      </c>
      <c r="I19" s="485" t="s">
        <v>1070</v>
      </c>
      <c r="J19" s="458">
        <f>C19*$H$18%+C19</f>
        <v>15589.869715000001</v>
      </c>
      <c r="K19" s="486">
        <f>D19-J19</f>
        <v>848.43028499999855</v>
      </c>
      <c r="L19" s="486">
        <f>SUM(J19:K19)</f>
        <v>16438.3</v>
      </c>
      <c r="M19" s="487">
        <f>L19-D19</f>
        <v>0</v>
      </c>
    </row>
    <row r="20" spans="1:13">
      <c r="A20" s="476"/>
      <c r="B20" s="477"/>
      <c r="C20" s="482"/>
      <c r="D20" s="482"/>
      <c r="E20" s="483"/>
      <c r="F20" s="475"/>
      <c r="H20" s="489"/>
      <c r="I20" s="490"/>
    </row>
    <row r="21" spans="1:13">
      <c r="A21" s="476" t="s">
        <v>162</v>
      </c>
      <c r="B21" s="477" t="s">
        <v>16</v>
      </c>
      <c r="C21" s="491"/>
      <c r="D21" s="491"/>
      <c r="E21" s="492"/>
      <c r="F21" s="479"/>
      <c r="H21" s="495">
        <f>H16+H19</f>
        <v>32876.549999999996</v>
      </c>
      <c r="I21" s="496" t="s">
        <v>31</v>
      </c>
    </row>
    <row r="22" spans="1:13" ht="16.5" thickBot="1">
      <c r="A22" s="476"/>
      <c r="B22" s="477" t="s">
        <v>166</v>
      </c>
      <c r="C22" s="482">
        <f>C19</f>
        <v>15581.300000000001</v>
      </c>
      <c r="D22" s="482">
        <f>D19</f>
        <v>16438.3</v>
      </c>
      <c r="E22" s="483">
        <f>E16</f>
        <v>76</v>
      </c>
      <c r="F22" s="475">
        <f>D22*A21*E22</f>
        <v>13742418.799999999</v>
      </c>
      <c r="H22" s="497"/>
      <c r="I22" s="498"/>
      <c r="J22" s="458">
        <f>C22*$H$18%+C22</f>
        <v>15589.869715000001</v>
      </c>
      <c r="K22" s="486">
        <f>D22-J22</f>
        <v>848.43028499999855</v>
      </c>
      <c r="L22" s="486">
        <f>SUM(J22:K22)</f>
        <v>16438.3</v>
      </c>
      <c r="M22" s="487">
        <f>L22-D22</f>
        <v>0</v>
      </c>
    </row>
    <row r="23" spans="1:13">
      <c r="A23" s="476"/>
      <c r="B23" s="477"/>
      <c r="C23" s="482"/>
      <c r="D23" s="482"/>
      <c r="E23" s="488"/>
      <c r="F23" s="475"/>
    </row>
    <row r="24" spans="1:13">
      <c r="A24" s="476" t="s">
        <v>162</v>
      </c>
      <c r="B24" s="477" t="s">
        <v>16</v>
      </c>
      <c r="C24" s="491"/>
      <c r="D24" s="491"/>
      <c r="E24" s="492"/>
      <c r="F24" s="479"/>
      <c r="H24" s="458">
        <f>H16+H19</f>
        <v>32876.549999999996</v>
      </c>
    </row>
    <row r="25" spans="1:13">
      <c r="A25" s="476"/>
      <c r="B25" s="477" t="s">
        <v>167</v>
      </c>
      <c r="C25" s="482">
        <f>INT(((C19/2)/5)*100+0.5)*0.05</f>
        <v>7790.6500000000005</v>
      </c>
      <c r="D25" s="482">
        <f>INT(((D19/2)/5)*100+0.5)*0.05</f>
        <v>8219.15</v>
      </c>
      <c r="E25" s="483">
        <f>E16</f>
        <v>76</v>
      </c>
      <c r="F25" s="475">
        <f>D25*A24*E25</f>
        <v>6871209.3999999994</v>
      </c>
      <c r="J25" s="458">
        <f>C25*$H$18%+C25</f>
        <v>7794.9348575000004</v>
      </c>
      <c r="K25" s="486">
        <f>D25-J25</f>
        <v>424.21514249999927</v>
      </c>
      <c r="L25" s="486">
        <f>SUM(J25:K25)</f>
        <v>8219.15</v>
      </c>
      <c r="M25" s="487">
        <f>L25-D25</f>
        <v>0</v>
      </c>
    </row>
    <row r="26" spans="1:13">
      <c r="A26" s="476"/>
      <c r="B26" s="477"/>
      <c r="C26" s="482"/>
      <c r="D26" s="482"/>
      <c r="E26" s="488"/>
      <c r="F26" s="475"/>
    </row>
    <row r="27" spans="1:13" ht="27" customHeight="1">
      <c r="A27" s="499"/>
      <c r="B27" s="500" t="s">
        <v>10</v>
      </c>
      <c r="C27" s="501"/>
      <c r="D27" s="501"/>
      <c r="E27" s="502"/>
      <c r="F27" s="503">
        <v>0</v>
      </c>
    </row>
    <row r="28" spans="1:13" ht="25.5" customHeight="1">
      <c r="A28" s="504"/>
      <c r="B28" s="505"/>
      <c r="C28" s="506"/>
      <c r="D28" s="506"/>
      <c r="E28" s="507"/>
      <c r="F28" s="508"/>
    </row>
    <row r="29" spans="1:13" ht="25.5" customHeight="1" thickBot="1">
      <c r="A29" s="476"/>
      <c r="B29" s="509" t="s">
        <v>40</v>
      </c>
      <c r="C29" s="510"/>
      <c r="D29" s="510"/>
      <c r="E29" s="511"/>
      <c r="F29" s="512">
        <f>SUM(F14:F27)</f>
        <v>54344985.599999987</v>
      </c>
    </row>
    <row r="30" spans="1:13" ht="21.75" customHeight="1" thickTop="1">
      <c r="A30" s="513"/>
      <c r="B30" s="514"/>
      <c r="C30" s="514"/>
      <c r="D30" s="514"/>
      <c r="E30" s="514"/>
      <c r="F30" s="515"/>
    </row>
    <row r="31" spans="1:13" ht="21.75" customHeight="1">
      <c r="A31" s="516"/>
      <c r="B31" s="516"/>
      <c r="C31" s="516"/>
      <c r="D31" s="516"/>
      <c r="E31" s="516"/>
      <c r="F31" s="517"/>
    </row>
    <row r="32" spans="1:13" ht="21.75" customHeight="1">
      <c r="A32" s="516"/>
      <c r="B32" s="516"/>
      <c r="C32" s="516"/>
      <c r="D32" s="516"/>
      <c r="E32" s="516"/>
    </row>
    <row r="33" spans="1:6" ht="21.75" customHeight="1">
      <c r="A33" s="516"/>
      <c r="B33" s="516"/>
      <c r="C33" s="516"/>
      <c r="D33" s="516"/>
      <c r="E33" s="516"/>
    </row>
    <row r="34" spans="1:6" ht="21.75" customHeight="1">
      <c r="A34" s="518"/>
      <c r="B34" s="519" t="s">
        <v>100</v>
      </c>
      <c r="C34" s="1453" t="s">
        <v>1145</v>
      </c>
      <c r="D34" s="1453"/>
      <c r="E34" s="960">
        <v>41135</v>
      </c>
      <c r="F34" s="518"/>
    </row>
    <row r="35" spans="1:6" s="518" customFormat="1">
      <c r="B35" s="520"/>
      <c r="C35" s="1445" t="s">
        <v>1150</v>
      </c>
      <c r="D35" s="1445"/>
      <c r="E35" s="521" t="s">
        <v>628</v>
      </c>
    </row>
    <row r="38" spans="1:6">
      <c r="A38" s="461"/>
      <c r="B38" s="461"/>
      <c r="C38" s="461"/>
      <c r="D38" s="461"/>
      <c r="E38" s="461"/>
      <c r="F38" s="462"/>
    </row>
  </sheetData>
  <sheetProtection password="AC08" sheet="1"/>
  <mergeCells count="6">
    <mergeCell ref="C35:D35"/>
    <mergeCell ref="A3:F3"/>
    <mergeCell ref="A5:F5"/>
    <mergeCell ref="A12:B13"/>
    <mergeCell ref="H13:I14"/>
    <mergeCell ref="C34:D34"/>
  </mergeCells>
  <printOptions horizontalCentered="1"/>
  <pageMargins left="0.98425196850393704" right="0.39370078740157483" top="0.19685039370078741" bottom="0.78740157480314965" header="0.19685039370078741" footer="0.39370078740157483"/>
  <pageSetup scale="90" orientation="portrait" horizontalDpi="360" verticalDpi="360" r:id="rId1"/>
  <headerFooter alignWithMargins="0">
    <oddFooter>&amp;C&amp;"Times New Roman,Negrita"&amp;11Pág.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98A9-BF07-475B-919F-E479D5C1C1E4}">
  <sheetPr codeName="Hoja16"/>
  <dimension ref="A1:H38"/>
  <sheetViews>
    <sheetView showGridLines="0" zoomScale="95" workbookViewId="0">
      <pane ySplit="7" topLeftCell="A8" activePane="bottomLeft" state="frozen"/>
      <selection sqref="A1:IV1"/>
      <selection pane="bottomLeft" activeCell="H1" sqref="H1:K65536"/>
    </sheetView>
  </sheetViews>
  <sheetFormatPr defaultRowHeight="15.75"/>
  <cols>
    <col min="1" max="1" width="14.625" customWidth="1"/>
    <col min="2" max="2" width="14" customWidth="1"/>
    <col min="3" max="4" width="13.5" customWidth="1"/>
    <col min="5" max="5" width="13.375" customWidth="1"/>
    <col min="6" max="6" width="14.125" customWidth="1"/>
    <col min="7" max="7" width="13.375" customWidth="1"/>
    <col min="8" max="11" width="0" hidden="1" customWidth="1"/>
    <col min="12" max="256" width="11" customWidth="1"/>
  </cols>
  <sheetData>
    <row r="1" spans="1:8" s="575" customFormat="1" ht="28.5" thickBot="1">
      <c r="A1" s="572" t="s">
        <v>32</v>
      </c>
      <c r="B1" s="572"/>
      <c r="C1" s="572"/>
      <c r="D1" s="572"/>
      <c r="E1" s="572"/>
      <c r="F1" s="572"/>
      <c r="G1" s="586" t="str">
        <f>'20% SANIDAD'!E1</f>
        <v>Presupuesto Ordinario 2013</v>
      </c>
      <c r="H1" s="1357" t="s">
        <v>621</v>
      </c>
    </row>
    <row r="4" spans="1:8" ht="18.75">
      <c r="A4" s="1437" t="s">
        <v>561</v>
      </c>
      <c r="B4" s="1437"/>
      <c r="C4" s="1437"/>
      <c r="D4" s="1437"/>
      <c r="E4" s="1437"/>
      <c r="F4" s="1437"/>
      <c r="G4" s="1437"/>
      <c r="H4" s="72"/>
    </row>
    <row r="5" spans="1:8" ht="18.75" customHeight="1">
      <c r="A5" s="91"/>
      <c r="B5" s="91"/>
      <c r="C5" s="91"/>
      <c r="D5" s="91"/>
      <c r="E5" s="91"/>
      <c r="F5" s="92"/>
      <c r="G5" s="408"/>
    </row>
    <row r="6" spans="1:8" ht="18.75">
      <c r="A6" s="1458" t="s">
        <v>1615</v>
      </c>
      <c r="B6" s="1458"/>
      <c r="C6" s="1458"/>
      <c r="D6" s="1458"/>
      <c r="E6" s="1458"/>
      <c r="F6" s="1458"/>
      <c r="G6" s="1458"/>
    </row>
    <row r="7" spans="1:8" ht="44.25" customHeight="1" thickBot="1">
      <c r="A7" s="1365"/>
      <c r="B7" s="1365"/>
      <c r="C7" s="1365"/>
      <c r="D7" s="1365"/>
      <c r="E7" s="1365"/>
      <c r="F7" s="1365"/>
      <c r="G7" s="1365"/>
    </row>
    <row r="8" spans="1:8" ht="31.5" customHeight="1">
      <c r="A8" s="1459" t="s">
        <v>582</v>
      </c>
      <c r="B8" s="1460"/>
      <c r="C8" s="1460"/>
      <c r="D8" s="1460"/>
      <c r="E8" s="1460"/>
      <c r="F8" s="1460"/>
      <c r="G8" s="1461"/>
    </row>
    <row r="9" spans="1:8" ht="17.25" customHeight="1">
      <c r="A9" s="1456" t="s">
        <v>583</v>
      </c>
      <c r="B9" s="1457" t="s">
        <v>584</v>
      </c>
      <c r="C9" s="1457"/>
      <c r="D9" s="1456" t="s">
        <v>589</v>
      </c>
      <c r="E9" s="1456" t="s">
        <v>587</v>
      </c>
      <c r="F9" s="1456" t="s">
        <v>588</v>
      </c>
      <c r="G9" s="1462" t="s">
        <v>40</v>
      </c>
    </row>
    <row r="10" spans="1:8" ht="39.75" customHeight="1">
      <c r="A10" s="1456"/>
      <c r="B10" s="1456" t="s">
        <v>585</v>
      </c>
      <c r="C10" s="1456" t="s">
        <v>586</v>
      </c>
      <c r="D10" s="1456"/>
      <c r="E10" s="1456"/>
      <c r="F10" s="1456"/>
      <c r="G10" s="1462"/>
    </row>
    <row r="11" spans="1:8">
      <c r="A11" s="1456"/>
      <c r="B11" s="1456"/>
      <c r="C11" s="1456"/>
      <c r="D11" s="1456"/>
      <c r="E11" s="1456"/>
      <c r="F11" s="1456"/>
      <c r="G11" s="1462"/>
    </row>
    <row r="12" spans="1:8">
      <c r="A12" s="1456"/>
      <c r="B12" s="828">
        <v>4.9200000000000001E-2</v>
      </c>
      <c r="C12" s="828">
        <v>9.2499999999999999E-2</v>
      </c>
      <c r="D12" s="828">
        <v>5.0000000000000001E-3</v>
      </c>
      <c r="E12" s="828">
        <v>1.4999999999999999E-2</v>
      </c>
      <c r="F12" s="828">
        <v>0.03</v>
      </c>
      <c r="G12" s="1462"/>
    </row>
    <row r="13" spans="1:8" s="16" customFormat="1" ht="39" customHeight="1">
      <c r="A13" s="1318">
        <f>SUM([1]GASTOS!$C$11+[1]GASTOS!$C$19+[1]GASTOS!$C$20+[1]GASTOS!$C$26+[1]GASTOS!$C$27+[1]GASTOS!$C$30)</f>
        <v>1826075126</v>
      </c>
      <c r="B13" s="1317">
        <f>[1]GASTOS!$C$40</f>
        <v>89842913</v>
      </c>
      <c r="C13" s="1317">
        <f>[1]GASTOS!$C$33</f>
        <v>168911968</v>
      </c>
      <c r="D13" s="1317">
        <f>[1]GASTOS!$C$37</f>
        <v>9130394</v>
      </c>
      <c r="E13" s="1317">
        <f>[1]GASTOS!$C$41</f>
        <v>27391143</v>
      </c>
      <c r="F13" s="1317">
        <f>[1]GASTOS!$C$42</f>
        <v>54782271</v>
      </c>
      <c r="G13" s="1317">
        <f>SUM(B13:F13)</f>
        <v>350058689</v>
      </c>
    </row>
    <row r="14" spans="1:8">
      <c r="A14" s="1318"/>
      <c r="B14" s="1318"/>
      <c r="C14" s="1318"/>
      <c r="D14" s="1318"/>
      <c r="E14" s="1318"/>
      <c r="F14" s="1318"/>
      <c r="G14" s="1318"/>
    </row>
    <row r="15" spans="1:8" ht="27.75" customHeight="1" thickBot="1">
      <c r="A15" s="1319">
        <f>SUM(A13:A13)</f>
        <v>1826075126</v>
      </c>
      <c r="B15" s="1319">
        <f t="shared" ref="B15:G15" si="0">SUM(B34:B34)</f>
        <v>89842896</v>
      </c>
      <c r="C15" s="1319">
        <f t="shared" si="0"/>
        <v>168911949</v>
      </c>
      <c r="D15" s="1320">
        <f t="shared" si="0"/>
        <v>9130375</v>
      </c>
      <c r="E15" s="1319">
        <f t="shared" si="0"/>
        <v>27391126</v>
      </c>
      <c r="F15" s="1319">
        <f t="shared" si="0"/>
        <v>54782253</v>
      </c>
      <c r="G15" s="1319">
        <f t="shared" si="0"/>
        <v>350058599</v>
      </c>
    </row>
    <row r="19" spans="1:7" ht="17.25" customHeight="1"/>
    <row r="20" spans="1:7" ht="15.75" customHeight="1">
      <c r="B20" s="1457" t="s">
        <v>1616</v>
      </c>
      <c r="C20" s="1457"/>
    </row>
    <row r="21" spans="1:7" ht="34.5" customHeight="1">
      <c r="B21" s="1299" t="s">
        <v>1617</v>
      </c>
      <c r="C21" s="1324">
        <v>8.3330000000000001E-2</v>
      </c>
      <c r="F21" s="1322" t="s">
        <v>1618</v>
      </c>
    </row>
    <row r="22" spans="1:7" s="16" customFormat="1" ht="39" customHeight="1">
      <c r="A22"/>
      <c r="B22" s="1321">
        <f>A13</f>
        <v>1826075126</v>
      </c>
      <c r="C22" s="1321">
        <f>[1]GASTOS!$C$28</f>
        <v>152166856</v>
      </c>
      <c r="D22"/>
      <c r="E22"/>
      <c r="F22" s="828">
        <v>0.02</v>
      </c>
      <c r="G22"/>
    </row>
    <row r="23" spans="1:7" ht="27.75" customHeight="1" thickBot="1">
      <c r="B23" s="1319">
        <f>SUM(B22:B22)</f>
        <v>1826075126</v>
      </c>
      <c r="C23" s="1319">
        <f>SUM(C22:C22)</f>
        <v>152166856</v>
      </c>
      <c r="F23" s="1323">
        <f>A13*F22</f>
        <v>36521502.520000003</v>
      </c>
    </row>
    <row r="29" spans="1:7">
      <c r="A29" s="1455" t="s">
        <v>1244</v>
      </c>
      <c r="B29" s="1455"/>
      <c r="C29" s="1455"/>
      <c r="D29" s="1455"/>
      <c r="E29" s="297"/>
      <c r="F29" s="298">
        <v>41179</v>
      </c>
    </row>
    <row r="30" spans="1:7">
      <c r="A30" s="1454" t="s">
        <v>1068</v>
      </c>
      <c r="B30" s="1454"/>
      <c r="C30" s="1454"/>
      <c r="D30" s="1454"/>
      <c r="E30" s="77"/>
      <c r="F30" s="49" t="s">
        <v>628</v>
      </c>
    </row>
    <row r="32" spans="1:7" s="695" customFormat="1"/>
    <row r="33" spans="1:7" s="716" customFormat="1"/>
    <row r="34" spans="1:7">
      <c r="B34" s="829">
        <f>INT($A$13*B12)</f>
        <v>89842896</v>
      </c>
      <c r="C34" s="829">
        <f>INT($A$13*C12)</f>
        <v>168911949</v>
      </c>
      <c r="D34" s="829">
        <f>INT($A$13*D12)</f>
        <v>9130375</v>
      </c>
      <c r="E34" s="829">
        <f>INT($A$13*E12)</f>
        <v>27391126</v>
      </c>
      <c r="F34" s="829">
        <f>INT($A$13*F12)</f>
        <v>54782253</v>
      </c>
      <c r="G34" s="829">
        <f>SUM(B34:F34)</f>
        <v>350058599</v>
      </c>
    </row>
    <row r="35" spans="1:7" s="19" customFormat="1">
      <c r="A35" s="17"/>
      <c r="B35" s="957">
        <f>B34-B13</f>
        <v>-17</v>
      </c>
      <c r="C35" s="957">
        <f>C34-C13</f>
        <v>-19</v>
      </c>
      <c r="D35" s="957">
        <f>D34-D13</f>
        <v>-19</v>
      </c>
      <c r="E35" s="957">
        <f>E34-E13</f>
        <v>-17</v>
      </c>
      <c r="F35" s="957">
        <f>F34-F13</f>
        <v>-18</v>
      </c>
      <c r="G35" s="957">
        <f>SUM(B35:F35)</f>
        <v>-90</v>
      </c>
    </row>
    <row r="37" spans="1:7">
      <c r="A37" s="409"/>
      <c r="C37" s="829">
        <f>B22*8.333%</f>
        <v>152166840.24958</v>
      </c>
      <c r="D37" s="409"/>
      <c r="E37" s="409"/>
      <c r="F37" s="409"/>
      <c r="G37" s="409"/>
    </row>
    <row r="38" spans="1:7">
      <c r="C38" s="957">
        <f>C37-C23</f>
        <v>-15.75042000412941</v>
      </c>
    </row>
  </sheetData>
  <sheetProtection password="AC08" sheet="1"/>
  <mergeCells count="15">
    <mergeCell ref="E9:E11"/>
    <mergeCell ref="A7:G7"/>
    <mergeCell ref="B9:C9"/>
    <mergeCell ref="F9:F11"/>
    <mergeCell ref="G9:G12"/>
    <mergeCell ref="A30:D30"/>
    <mergeCell ref="A29:D29"/>
    <mergeCell ref="C10:C11"/>
    <mergeCell ref="B10:B11"/>
    <mergeCell ref="B20:C20"/>
    <mergeCell ref="A4:G4"/>
    <mergeCell ref="A6:G6"/>
    <mergeCell ref="A8:G8"/>
    <mergeCell ref="A9:A12"/>
    <mergeCell ref="D9:D11"/>
  </mergeCells>
  <phoneticPr fontId="0" type="noConversion"/>
  <printOptions horizontalCentered="1"/>
  <pageMargins left="1.1811023622047245" right="0.39370078740157483" top="0.19685039370078741" bottom="0.78740157480314965" header="0.19685039370078741" footer="0.39370078740157483"/>
  <pageSetup scale="83" orientation="portrait" horizontalDpi="360" verticalDpi="360" r:id="rId1"/>
  <headerFooter alignWithMargins="0">
    <oddFooter>&amp;C&amp;"Times New Roman,Negrita"&amp;13Pág.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DB280-802E-4D39-9B3E-FC6003F953EA}">
  <sheetPr codeName="Hoja17">
    <pageSetUpPr fitToPage="1"/>
  </sheetPr>
  <dimension ref="A1:F24"/>
  <sheetViews>
    <sheetView showGridLines="0" zoomScale="95" workbookViewId="0">
      <pane ySplit="7" topLeftCell="A8" activePane="bottomLeft" state="frozen"/>
      <selection sqref="A1:IV1"/>
      <selection pane="bottomLeft" activeCell="D1" sqref="D1:G65536"/>
    </sheetView>
  </sheetViews>
  <sheetFormatPr defaultRowHeight="15.75"/>
  <cols>
    <col min="1" max="1" width="45.25" customWidth="1"/>
    <col min="2" max="3" width="16.125" customWidth="1"/>
    <col min="4" max="4" width="8.875" hidden="1" customWidth="1"/>
    <col min="5" max="5" width="13.625" hidden="1" customWidth="1"/>
    <col min="6" max="7" width="0" hidden="1" customWidth="1"/>
    <col min="8" max="256" width="11" customWidth="1"/>
  </cols>
  <sheetData>
    <row r="1" spans="1:6" s="563" customFormat="1" ht="26.25" thickBot="1">
      <c r="A1" s="561" t="s">
        <v>32</v>
      </c>
      <c r="B1" s="561"/>
      <c r="C1" s="591" t="str">
        <f>'CUADRO 5 Transf'!F1</f>
        <v>Presupuesto Ordinario 2013</v>
      </c>
      <c r="D1" s="1021" t="s">
        <v>621</v>
      </c>
    </row>
    <row r="4" spans="1:6">
      <c r="D4" s="72"/>
    </row>
    <row r="5" spans="1:6" ht="18.75">
      <c r="A5" s="1463" t="s">
        <v>562</v>
      </c>
      <c r="B5" s="1463"/>
      <c r="C5" s="1463"/>
    </row>
    <row r="6" spans="1:6" ht="18.75">
      <c r="A6" s="50"/>
      <c r="B6" s="50"/>
      <c r="C6" s="50"/>
    </row>
    <row r="7" spans="1:6" ht="21.75" customHeight="1">
      <c r="A7" s="1365" t="s">
        <v>615</v>
      </c>
      <c r="B7" s="1365"/>
      <c r="C7" s="1365"/>
    </row>
    <row r="8" spans="1:6" ht="21.75" customHeight="1">
      <c r="A8" s="1365" t="s">
        <v>563</v>
      </c>
      <c r="B8" s="1365"/>
      <c r="C8" s="1365"/>
    </row>
    <row r="9" spans="1:6" ht="21.75" customHeight="1">
      <c r="A9" s="1368" t="s">
        <v>564</v>
      </c>
      <c r="B9" s="1368"/>
      <c r="C9" s="1368"/>
    </row>
    <row r="10" spans="1:6" ht="30.75" customHeight="1">
      <c r="A10" s="86"/>
      <c r="B10" s="86"/>
      <c r="C10" s="86"/>
      <c r="E10" s="348" t="s">
        <v>1069</v>
      </c>
    </row>
    <row r="11" spans="1:6" ht="21" customHeight="1">
      <c r="A11" s="23"/>
      <c r="B11" s="164"/>
      <c r="C11" s="165"/>
      <c r="E11" s="717">
        <f>[1]GASTOS!$C$68</f>
        <v>11525000</v>
      </c>
      <c r="F11" s="6" t="s">
        <v>376</v>
      </c>
    </row>
    <row r="12" spans="1:6" ht="21" customHeight="1">
      <c r="A12" s="242" t="s">
        <v>565</v>
      </c>
      <c r="B12" s="243">
        <f>SUM(B13:B14)</f>
        <v>13205000</v>
      </c>
      <c r="C12" s="244">
        <f>SUM(C13:C14)</f>
        <v>1</v>
      </c>
      <c r="E12" s="718">
        <f>[1]GASTOS!$C$69</f>
        <v>1680000</v>
      </c>
      <c r="F12" s="6" t="s">
        <v>378</v>
      </c>
    </row>
    <row r="13" spans="1:6" ht="24.75" customHeight="1">
      <c r="A13" s="290" t="s">
        <v>613</v>
      </c>
      <c r="B13" s="62">
        <f>E13*30%</f>
        <v>3961500</v>
      </c>
      <c r="C13" s="245">
        <f>B13/B12</f>
        <v>0.3</v>
      </c>
      <c r="E13" s="367">
        <f>SUM(E11:E12)</f>
        <v>13205000</v>
      </c>
    </row>
    <row r="14" spans="1:6" ht="24.75" customHeight="1">
      <c r="A14" s="290" t="s">
        <v>614</v>
      </c>
      <c r="B14" s="62">
        <f>E13-B13</f>
        <v>9243500</v>
      </c>
      <c r="C14" s="245">
        <f>B14/B12</f>
        <v>0.7</v>
      </c>
      <c r="E14" s="347">
        <f>E13-B12</f>
        <v>0</v>
      </c>
    </row>
    <row r="15" spans="1:6">
      <c r="A15" s="24"/>
      <c r="B15" s="166"/>
      <c r="C15" s="167"/>
    </row>
    <row r="17" spans="1:3">
      <c r="A17" s="16" t="s">
        <v>1061</v>
      </c>
    </row>
    <row r="23" spans="1:3">
      <c r="A23" s="961" t="s">
        <v>1313</v>
      </c>
      <c r="B23" s="297"/>
      <c r="C23" s="298">
        <v>41147</v>
      </c>
    </row>
    <row r="24" spans="1:3">
      <c r="A24" s="720" t="s">
        <v>1068</v>
      </c>
      <c r="B24" s="77"/>
      <c r="C24" s="49" t="s">
        <v>628</v>
      </c>
    </row>
  </sheetData>
  <sheetProtection password="AC08" sheet="1"/>
  <mergeCells count="4">
    <mergeCell ref="A5:C5"/>
    <mergeCell ref="A7:C7"/>
    <mergeCell ref="A8:C8"/>
    <mergeCell ref="A9:C9"/>
  </mergeCells>
  <phoneticPr fontId="0" type="noConversion"/>
  <printOptions horizontalCentered="1"/>
  <pageMargins left="1.299212598425197" right="0.39370078740157483" top="0.19685039370078741" bottom="0.78740157480314965" header="0.19685039370078741" footer="0.39370078740157483"/>
  <pageSetup orientation="portrait" horizontalDpi="360" verticalDpi="360" r:id="rId1"/>
  <headerFooter alignWithMargins="0">
    <oddFooter>&amp;C&amp;"Times New Roman,Negrita"&amp;11Pág.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ADA97-4E7F-435A-AAB2-69273E3C2BC5}">
  <sheetPr codeName="Hoja18"/>
  <dimension ref="A1:BB79"/>
  <sheetViews>
    <sheetView showGridLines="0" zoomScale="75" workbookViewId="0">
      <pane xSplit="7" ySplit="8" topLeftCell="AH9" activePane="bottomRight" state="frozen"/>
      <selection pane="topRight" activeCell="H1" sqref="H1"/>
      <selection pane="bottomLeft" activeCell="A9" sqref="A9"/>
      <selection pane="bottomRight" activeCell="I1" sqref="I1:AN65536"/>
    </sheetView>
  </sheetViews>
  <sheetFormatPr defaultColWidth="11" defaultRowHeight="27.75"/>
  <cols>
    <col min="1" max="1" width="5.75" style="866" customWidth="1"/>
    <col min="2" max="2" width="12" style="866" customWidth="1"/>
    <col min="3" max="3" width="25.875" style="862" customWidth="1"/>
    <col min="4" max="4" width="40.875" style="862" customWidth="1"/>
    <col min="5" max="5" width="22.125" style="865" customWidth="1"/>
    <col min="6" max="6" width="13.625" style="865" customWidth="1"/>
    <col min="7" max="7" width="17.75" style="862" customWidth="1"/>
    <col min="8" max="8" width="2.75" style="859" customWidth="1"/>
    <col min="9" max="9" width="17" style="860" hidden="1" customWidth="1"/>
    <col min="10" max="10" width="14" style="860" hidden="1" customWidth="1"/>
    <col min="11" max="11" width="13" style="860" hidden="1" customWidth="1"/>
    <col min="12" max="15" width="17" style="860" hidden="1" customWidth="1"/>
    <col min="16" max="16" width="17" style="861" hidden="1" customWidth="1"/>
    <col min="17" max="18" width="17" style="862" hidden="1" customWidth="1"/>
    <col min="19" max="19" width="13.5" style="862" hidden="1" customWidth="1"/>
    <col min="20" max="21" width="0" style="862" hidden="1" customWidth="1"/>
    <col min="22" max="22" width="11.875" style="862" hidden="1" customWidth="1"/>
    <col min="23" max="24" width="0" style="862" hidden="1" customWidth="1"/>
    <col min="25" max="25" width="12" style="862" hidden="1" customWidth="1"/>
    <col min="26" max="26" width="13.25" style="862" hidden="1" customWidth="1"/>
    <col min="27" max="27" width="8.625" style="862" hidden="1" customWidth="1"/>
    <col min="28" max="28" width="13.875" style="862" hidden="1" customWidth="1"/>
    <col min="29" max="40" width="0" style="862" hidden="1" customWidth="1"/>
    <col min="41" max="16384" width="11" style="862"/>
  </cols>
  <sheetData>
    <row r="1" spans="1:54" s="858" customFormat="1" ht="38.25" thickBot="1">
      <c r="A1" s="991" t="s">
        <v>32</v>
      </c>
      <c r="B1" s="991"/>
      <c r="C1" s="991"/>
      <c r="D1" s="991"/>
      <c r="E1" s="992"/>
      <c r="F1" s="992"/>
      <c r="G1" s="993" t="str">
        <f>'ESTADO APLICACION'!G1</f>
        <v>Presupuesto Ordinario 2013</v>
      </c>
      <c r="H1" s="855"/>
      <c r="I1" s="1100" t="s">
        <v>621</v>
      </c>
      <c r="J1" s="856"/>
      <c r="K1" s="856"/>
      <c r="L1" s="856"/>
      <c r="M1" s="856"/>
      <c r="N1" s="856"/>
      <c r="O1" s="856"/>
      <c r="P1" s="857"/>
    </row>
    <row r="3" spans="1:54">
      <c r="A3" s="1465" t="s">
        <v>1247</v>
      </c>
      <c r="B3" s="1465"/>
      <c r="C3" s="1465"/>
      <c r="D3" s="1465"/>
      <c r="E3" s="1465"/>
      <c r="F3" s="1465"/>
      <c r="G3" s="1465"/>
    </row>
    <row r="4" spans="1:54" ht="16.5" customHeight="1">
      <c r="A4" s="863"/>
      <c r="B4" s="863"/>
      <c r="C4" s="863"/>
      <c r="D4" s="863"/>
      <c r="E4" s="863"/>
      <c r="F4" s="863"/>
      <c r="G4" s="863"/>
    </row>
    <row r="5" spans="1:54">
      <c r="A5" s="1466" t="s">
        <v>1248</v>
      </c>
      <c r="B5" s="1466"/>
      <c r="C5" s="1466"/>
      <c r="D5" s="1466"/>
      <c r="E5" s="1466"/>
      <c r="F5" s="1466"/>
      <c r="G5" s="1466"/>
    </row>
    <row r="6" spans="1:54">
      <c r="A6" s="1466" t="s">
        <v>1249</v>
      </c>
      <c r="B6" s="1466"/>
      <c r="C6" s="1466"/>
      <c r="D6" s="1466"/>
      <c r="E6" s="1466"/>
      <c r="F6" s="1466"/>
      <c r="G6" s="1466"/>
    </row>
    <row r="7" spans="1:54" s="887" customFormat="1" ht="27" customHeight="1">
      <c r="A7" s="1096"/>
      <c r="B7" s="1096"/>
      <c r="C7" s="1097"/>
      <c r="D7" s="1097"/>
      <c r="E7" s="886"/>
      <c r="F7" s="886"/>
      <c r="G7" s="886"/>
      <c r="H7" s="1059"/>
      <c r="I7" s="864" t="s">
        <v>358</v>
      </c>
      <c r="J7" s="864" t="s">
        <v>1250</v>
      </c>
      <c r="K7" s="864" t="s">
        <v>1266</v>
      </c>
      <c r="L7" s="864" t="s">
        <v>435</v>
      </c>
      <c r="M7" s="864" t="s">
        <v>437</v>
      </c>
      <c r="N7" s="864" t="s">
        <v>1251</v>
      </c>
      <c r="O7" s="864" t="s">
        <v>441</v>
      </c>
      <c r="P7" s="864" t="s">
        <v>1083</v>
      </c>
      <c r="Q7" s="864" t="s">
        <v>1252</v>
      </c>
      <c r="R7" s="864" t="s">
        <v>444</v>
      </c>
      <c r="S7" s="864" t="s">
        <v>447</v>
      </c>
      <c r="T7" s="864" t="s">
        <v>457</v>
      </c>
      <c r="U7" s="864" t="s">
        <v>1367</v>
      </c>
      <c r="V7" s="864" t="s">
        <v>1368</v>
      </c>
      <c r="W7" s="864" t="s">
        <v>476</v>
      </c>
      <c r="X7" s="864" t="s">
        <v>478</v>
      </c>
      <c r="Y7" s="864" t="s">
        <v>482</v>
      </c>
      <c r="Z7" s="864" t="s">
        <v>484</v>
      </c>
      <c r="AA7" s="1060"/>
      <c r="AB7" s="1061"/>
      <c r="AC7" s="1061"/>
      <c r="AD7" s="1062"/>
      <c r="AE7" s="1062"/>
      <c r="AF7" s="1062"/>
      <c r="AG7" s="1062"/>
      <c r="AH7" s="1062"/>
      <c r="AI7" s="1062"/>
      <c r="AJ7" s="1062"/>
      <c r="AK7" s="1062"/>
      <c r="AL7" s="1062"/>
      <c r="AM7" s="1062"/>
      <c r="AN7" s="1062"/>
      <c r="AO7" s="1062"/>
      <c r="AP7" s="1062"/>
      <c r="AQ7" s="1062"/>
      <c r="AR7" s="1062"/>
      <c r="AS7" s="1062"/>
      <c r="AT7" s="1062"/>
      <c r="AU7" s="1062"/>
      <c r="AV7" s="1062"/>
      <c r="AW7" s="1062"/>
      <c r="AX7" s="1062"/>
      <c r="AY7" s="1062"/>
      <c r="AZ7" s="1062"/>
      <c r="BA7" s="1062"/>
      <c r="BB7" s="1062"/>
    </row>
    <row r="8" spans="1:54" s="890" customFormat="1" ht="67.5" customHeight="1">
      <c r="A8" s="888" t="s">
        <v>1253</v>
      </c>
      <c r="B8" s="889" t="s">
        <v>1254</v>
      </c>
      <c r="C8" s="888" t="s">
        <v>1255</v>
      </c>
      <c r="D8" s="888" t="s">
        <v>1256</v>
      </c>
      <c r="E8" s="888" t="s">
        <v>24</v>
      </c>
      <c r="F8" s="864" t="s">
        <v>1257</v>
      </c>
      <c r="G8" s="864" t="s">
        <v>98</v>
      </c>
      <c r="H8" s="1063"/>
      <c r="I8" s="1064" t="s">
        <v>359</v>
      </c>
      <c r="J8" s="1065" t="s">
        <v>1267</v>
      </c>
      <c r="K8" s="1065" t="s">
        <v>1158</v>
      </c>
      <c r="L8" s="1065" t="s">
        <v>436</v>
      </c>
      <c r="M8" s="1065" t="s">
        <v>438</v>
      </c>
      <c r="N8" s="1065" t="s">
        <v>440</v>
      </c>
      <c r="O8" s="1065" t="s">
        <v>1268</v>
      </c>
      <c r="P8" s="1065" t="s">
        <v>1084</v>
      </c>
      <c r="Q8" s="1065" t="s">
        <v>1269</v>
      </c>
      <c r="R8" s="1065" t="s">
        <v>1159</v>
      </c>
      <c r="S8" s="1065" t="s">
        <v>448</v>
      </c>
      <c r="T8" s="1065" t="s">
        <v>458</v>
      </c>
      <c r="U8" s="1065" t="s">
        <v>460</v>
      </c>
      <c r="V8" s="1065" t="s">
        <v>19</v>
      </c>
      <c r="W8" s="1065" t="s">
        <v>477</v>
      </c>
      <c r="X8" s="1065" t="s">
        <v>479</v>
      </c>
      <c r="Y8" s="1065" t="s">
        <v>483</v>
      </c>
      <c r="Z8" s="1065" t="s">
        <v>1369</v>
      </c>
      <c r="AA8" s="1066"/>
      <c r="AB8" s="1067"/>
      <c r="AC8" s="1067"/>
      <c r="AD8" s="1066"/>
      <c r="AE8" s="1066"/>
      <c r="AF8" s="1066"/>
      <c r="AG8" s="1066"/>
      <c r="AH8" s="1066"/>
      <c r="AI8" s="1066"/>
      <c r="AJ8" s="1066"/>
      <c r="AK8" s="1066"/>
      <c r="AL8" s="1066"/>
      <c r="AM8" s="1066"/>
      <c r="AN8" s="1066"/>
      <c r="AO8" s="1066"/>
      <c r="AP8" s="1066"/>
      <c r="AQ8" s="1066"/>
      <c r="AR8" s="1066"/>
      <c r="AS8" s="1066"/>
      <c r="AT8" s="1066"/>
      <c r="AU8" s="1066"/>
      <c r="AV8" s="1066"/>
      <c r="AW8" s="1066"/>
      <c r="AX8" s="1066"/>
      <c r="AY8" s="1066"/>
      <c r="AZ8" s="1066"/>
      <c r="BA8" s="1066"/>
      <c r="BB8" s="1066"/>
    </row>
    <row r="9" spans="1:54" s="1079" customFormat="1" ht="33">
      <c r="A9" s="1068">
        <v>1</v>
      </c>
      <c r="B9" s="1069" t="s">
        <v>1258</v>
      </c>
      <c r="C9" s="1070" t="s">
        <v>1370</v>
      </c>
      <c r="D9" s="1070" t="s">
        <v>1371</v>
      </c>
      <c r="E9" s="1071" t="s">
        <v>1372</v>
      </c>
      <c r="F9" s="1072" t="s">
        <v>1373</v>
      </c>
      <c r="G9" s="1073">
        <f>SUM(H9:AA9)</f>
        <v>2000000</v>
      </c>
      <c r="H9" s="1074"/>
      <c r="I9" s="1075"/>
      <c r="J9" s="1075">
        <v>1510000</v>
      </c>
      <c r="K9" s="1075"/>
      <c r="L9" s="1075">
        <v>245000</v>
      </c>
      <c r="M9" s="1075">
        <v>245000</v>
      </c>
      <c r="N9" s="1075"/>
      <c r="O9" s="1075"/>
      <c r="P9" s="1075"/>
      <c r="Q9" s="1075"/>
      <c r="R9" s="1075"/>
      <c r="S9" s="1075"/>
      <c r="T9" s="1075"/>
      <c r="U9" s="1075"/>
      <c r="V9" s="1075"/>
      <c r="W9" s="1075"/>
      <c r="X9" s="1075"/>
      <c r="Y9" s="1075"/>
      <c r="Z9" s="1075"/>
      <c r="AA9" s="1076"/>
      <c r="AB9" s="1077">
        <v>2000000</v>
      </c>
      <c r="AC9" s="1077">
        <f>G9-AB9</f>
        <v>0</v>
      </c>
      <c r="AD9" s="1078"/>
      <c r="AE9" s="1078"/>
      <c r="AF9" s="1078"/>
      <c r="AG9" s="1078"/>
      <c r="AH9" s="1078"/>
      <c r="AI9" s="1078"/>
      <c r="AJ9" s="1078"/>
      <c r="AK9" s="1078"/>
      <c r="AL9" s="1078"/>
      <c r="AM9" s="1078"/>
      <c r="AN9" s="1078"/>
      <c r="AO9" s="1078"/>
      <c r="AP9" s="1078"/>
      <c r="AQ9" s="1078"/>
      <c r="AR9" s="1078"/>
      <c r="AS9" s="1078"/>
      <c r="AT9" s="1078"/>
      <c r="AU9" s="1078"/>
      <c r="AV9" s="1078"/>
      <c r="AW9" s="1078"/>
      <c r="AX9" s="1078"/>
      <c r="AY9" s="1078"/>
      <c r="AZ9" s="1078"/>
      <c r="BA9" s="1078"/>
      <c r="BB9" s="1078"/>
    </row>
    <row r="10" spans="1:54" s="1079" customFormat="1" ht="33">
      <c r="A10" s="1080">
        <f>A9+1</f>
        <v>2</v>
      </c>
      <c r="B10" s="1081" t="s">
        <v>1258</v>
      </c>
      <c r="C10" s="1082" t="s">
        <v>1374</v>
      </c>
      <c r="D10" s="1082" t="s">
        <v>1375</v>
      </c>
      <c r="E10" s="1083" t="s">
        <v>1372</v>
      </c>
      <c r="F10" s="1084" t="s">
        <v>1373</v>
      </c>
      <c r="G10" s="1085">
        <f t="shared" ref="G10:G69" si="0">SUM(H10:AA10)</f>
        <v>2000000</v>
      </c>
      <c r="H10" s="1074"/>
      <c r="I10" s="1086"/>
      <c r="J10" s="1086"/>
      <c r="K10" s="1086"/>
      <c r="L10" s="1086">
        <v>200000</v>
      </c>
      <c r="M10" s="1086">
        <v>1800000</v>
      </c>
      <c r="N10" s="1086"/>
      <c r="O10" s="1086"/>
      <c r="P10" s="1086"/>
      <c r="Q10" s="1086"/>
      <c r="R10" s="1086"/>
      <c r="S10" s="1086"/>
      <c r="T10" s="1086"/>
      <c r="U10" s="1086"/>
      <c r="V10" s="1086"/>
      <c r="W10" s="1086"/>
      <c r="X10" s="1086"/>
      <c r="Y10" s="1086"/>
      <c r="Z10" s="1086"/>
      <c r="AA10" s="1076"/>
      <c r="AB10" s="1077">
        <v>2000000</v>
      </c>
      <c r="AC10" s="1077">
        <f t="shared" ref="AC10:AC67" si="1">G10-AB10</f>
        <v>0</v>
      </c>
      <c r="AD10" s="1078"/>
      <c r="AE10" s="1078"/>
      <c r="AF10" s="1078"/>
      <c r="AG10" s="1078"/>
      <c r="AH10" s="1078"/>
      <c r="AI10" s="1078"/>
      <c r="AJ10" s="1078"/>
      <c r="AK10" s="1078"/>
      <c r="AL10" s="1078"/>
      <c r="AM10" s="1078"/>
      <c r="AN10" s="1078"/>
      <c r="AO10" s="1078"/>
      <c r="AP10" s="1078"/>
      <c r="AQ10" s="1078"/>
      <c r="AR10" s="1078"/>
      <c r="AS10" s="1078"/>
      <c r="AT10" s="1078"/>
      <c r="AU10" s="1078"/>
      <c r="AV10" s="1078"/>
      <c r="AW10" s="1078"/>
      <c r="AX10" s="1078"/>
      <c r="AY10" s="1078"/>
      <c r="AZ10" s="1078"/>
      <c r="BA10" s="1078"/>
      <c r="BB10" s="1078"/>
    </row>
    <row r="11" spans="1:54" s="1079" customFormat="1" ht="33">
      <c r="A11" s="1080">
        <f t="shared" ref="A11:A69" si="2">A10+1</f>
        <v>3</v>
      </c>
      <c r="B11" s="1081" t="s">
        <v>1258</v>
      </c>
      <c r="C11" s="1082" t="s">
        <v>1376</v>
      </c>
      <c r="D11" s="1082" t="s">
        <v>1377</v>
      </c>
      <c r="E11" s="1083" t="s">
        <v>1372</v>
      </c>
      <c r="F11" s="1084" t="s">
        <v>1373</v>
      </c>
      <c r="G11" s="1085">
        <f t="shared" si="0"/>
        <v>1000000</v>
      </c>
      <c r="H11" s="1074"/>
      <c r="I11" s="1086"/>
      <c r="J11" s="1086"/>
      <c r="K11" s="1086"/>
      <c r="L11" s="1086">
        <v>1000000</v>
      </c>
      <c r="M11" s="1086"/>
      <c r="N11" s="1086"/>
      <c r="O11" s="1086"/>
      <c r="P11" s="1086"/>
      <c r="Q11" s="1086"/>
      <c r="R11" s="1086"/>
      <c r="S11" s="1086"/>
      <c r="T11" s="1086"/>
      <c r="U11" s="1086"/>
      <c r="V11" s="1086"/>
      <c r="W11" s="1086"/>
      <c r="X11" s="1086"/>
      <c r="Y11" s="1086"/>
      <c r="Z11" s="1086"/>
      <c r="AA11" s="1076"/>
      <c r="AB11" s="1077">
        <v>1000000</v>
      </c>
      <c r="AC11" s="1077">
        <f t="shared" si="1"/>
        <v>0</v>
      </c>
      <c r="AD11" s="1078"/>
      <c r="AE11" s="1078"/>
      <c r="AF11" s="1078"/>
      <c r="AG11" s="1078"/>
      <c r="AH11" s="1078"/>
      <c r="AI11" s="1078"/>
      <c r="AJ11" s="1078"/>
      <c r="AK11" s="1078"/>
      <c r="AL11" s="1078"/>
      <c r="AM11" s="1078"/>
      <c r="AN11" s="1078"/>
      <c r="AO11" s="1078"/>
      <c r="AP11" s="1078"/>
      <c r="AQ11" s="1078"/>
      <c r="AR11" s="1078"/>
      <c r="AS11" s="1078"/>
      <c r="AT11" s="1078"/>
      <c r="AU11" s="1078"/>
      <c r="AV11" s="1078"/>
      <c r="AW11" s="1078"/>
      <c r="AX11" s="1078"/>
      <c r="AY11" s="1078"/>
      <c r="AZ11" s="1078"/>
      <c r="BA11" s="1078"/>
      <c r="BB11" s="1078"/>
    </row>
    <row r="12" spans="1:54" s="1079" customFormat="1" ht="33">
      <c r="A12" s="1080">
        <f t="shared" si="2"/>
        <v>4</v>
      </c>
      <c r="B12" s="1081" t="s">
        <v>1258</v>
      </c>
      <c r="C12" s="1082" t="s">
        <v>1378</v>
      </c>
      <c r="D12" s="1082" t="s">
        <v>1379</v>
      </c>
      <c r="E12" s="1083" t="s">
        <v>1372</v>
      </c>
      <c r="F12" s="1084" t="s">
        <v>1373</v>
      </c>
      <c r="G12" s="1085">
        <f t="shared" si="0"/>
        <v>2000000</v>
      </c>
      <c r="H12" s="1074"/>
      <c r="I12" s="1086"/>
      <c r="J12" s="1086"/>
      <c r="K12" s="1086"/>
      <c r="L12" s="1086">
        <v>150000</v>
      </c>
      <c r="M12" s="1086">
        <v>1850000</v>
      </c>
      <c r="N12" s="1086"/>
      <c r="O12" s="1086"/>
      <c r="P12" s="1086"/>
      <c r="Q12" s="1086"/>
      <c r="R12" s="1086"/>
      <c r="S12" s="1086"/>
      <c r="T12" s="1086"/>
      <c r="U12" s="1086"/>
      <c r="V12" s="1086"/>
      <c r="W12" s="1086"/>
      <c r="X12" s="1086"/>
      <c r="Y12" s="1086"/>
      <c r="Z12" s="1086"/>
      <c r="AA12" s="1076"/>
      <c r="AB12" s="1077">
        <v>2000000</v>
      </c>
      <c r="AC12" s="1077">
        <f t="shared" si="1"/>
        <v>0</v>
      </c>
      <c r="AD12" s="1078"/>
      <c r="AE12" s="1078"/>
      <c r="AF12" s="1078"/>
      <c r="AG12" s="1078"/>
      <c r="AH12" s="1078"/>
      <c r="AI12" s="1078"/>
      <c r="AJ12" s="1078"/>
      <c r="AK12" s="1078"/>
      <c r="AL12" s="1078"/>
      <c r="AM12" s="1078"/>
      <c r="AN12" s="1078"/>
      <c r="AO12" s="1078"/>
      <c r="AP12" s="1078"/>
      <c r="AQ12" s="1078"/>
      <c r="AR12" s="1078"/>
      <c r="AS12" s="1078"/>
      <c r="AT12" s="1078"/>
      <c r="AU12" s="1078"/>
      <c r="AV12" s="1078"/>
      <c r="AW12" s="1078"/>
      <c r="AX12" s="1078"/>
      <c r="AY12" s="1078"/>
      <c r="AZ12" s="1078"/>
      <c r="BA12" s="1078"/>
      <c r="BB12" s="1078"/>
    </row>
    <row r="13" spans="1:54" s="1079" customFormat="1" ht="33">
      <c r="A13" s="1080">
        <f t="shared" si="2"/>
        <v>5</v>
      </c>
      <c r="B13" s="1081" t="s">
        <v>1258</v>
      </c>
      <c r="C13" s="1082" t="s">
        <v>1380</v>
      </c>
      <c r="D13" s="1082" t="s">
        <v>1381</v>
      </c>
      <c r="E13" s="1083" t="s">
        <v>1372</v>
      </c>
      <c r="F13" s="1084" t="s">
        <v>1373</v>
      </c>
      <c r="G13" s="1085">
        <f t="shared" si="0"/>
        <v>3000000</v>
      </c>
      <c r="H13" s="1074"/>
      <c r="I13" s="1086"/>
      <c r="J13" s="1086"/>
      <c r="K13" s="1086"/>
      <c r="L13" s="1086">
        <v>2850000</v>
      </c>
      <c r="M13" s="1086">
        <v>150000</v>
      </c>
      <c r="N13" s="1086"/>
      <c r="O13" s="1086"/>
      <c r="P13" s="1086"/>
      <c r="Q13" s="1086"/>
      <c r="R13" s="1086"/>
      <c r="S13" s="1086"/>
      <c r="T13" s="1086"/>
      <c r="U13" s="1086"/>
      <c r="V13" s="1086"/>
      <c r="W13" s="1086"/>
      <c r="X13" s="1086"/>
      <c r="Y13" s="1086"/>
      <c r="Z13" s="1086"/>
      <c r="AA13" s="1076"/>
      <c r="AB13" s="1077">
        <v>3000000</v>
      </c>
      <c r="AC13" s="1077">
        <f t="shared" si="1"/>
        <v>0</v>
      </c>
      <c r="AD13" s="1078"/>
      <c r="AE13" s="1078"/>
      <c r="AF13" s="1078"/>
      <c r="AG13" s="1078"/>
      <c r="AH13" s="1078"/>
      <c r="AI13" s="1078"/>
      <c r="AJ13" s="1078"/>
      <c r="AK13" s="1078"/>
      <c r="AL13" s="1078"/>
      <c r="AM13" s="1078"/>
      <c r="AN13" s="1078"/>
      <c r="AO13" s="1078"/>
      <c r="AP13" s="1078"/>
      <c r="AQ13" s="1078"/>
      <c r="AR13" s="1078"/>
      <c r="AS13" s="1078"/>
      <c r="AT13" s="1078"/>
      <c r="AU13" s="1078"/>
      <c r="AV13" s="1078"/>
      <c r="AW13" s="1078"/>
      <c r="AX13" s="1078"/>
      <c r="AY13" s="1078"/>
      <c r="AZ13" s="1078"/>
      <c r="BA13" s="1078"/>
      <c r="BB13" s="1078"/>
    </row>
    <row r="14" spans="1:54" s="1079" customFormat="1" ht="33">
      <c r="A14" s="1080">
        <f t="shared" si="2"/>
        <v>6</v>
      </c>
      <c r="B14" s="1087" t="s">
        <v>1382</v>
      </c>
      <c r="C14" s="1082" t="s">
        <v>1383</v>
      </c>
      <c r="D14" s="1082" t="s">
        <v>1384</v>
      </c>
      <c r="E14" s="1083" t="s">
        <v>1372</v>
      </c>
      <c r="F14" s="1084" t="s">
        <v>1373</v>
      </c>
      <c r="G14" s="1085">
        <f t="shared" si="0"/>
        <v>2000000</v>
      </c>
      <c r="H14" s="1074"/>
      <c r="I14" s="1086"/>
      <c r="J14" s="1086"/>
      <c r="K14" s="1086"/>
      <c r="L14" s="1086">
        <v>2000000</v>
      </c>
      <c r="M14" s="1086"/>
      <c r="N14" s="1086"/>
      <c r="O14" s="1086"/>
      <c r="P14" s="1086"/>
      <c r="Q14" s="1086"/>
      <c r="R14" s="1086"/>
      <c r="S14" s="1086"/>
      <c r="T14" s="1086"/>
      <c r="U14" s="1086"/>
      <c r="V14" s="1086"/>
      <c r="W14" s="1086"/>
      <c r="X14" s="1086"/>
      <c r="Y14" s="1086"/>
      <c r="Z14" s="1086"/>
      <c r="AA14" s="1076"/>
      <c r="AB14" s="1077">
        <v>2000000</v>
      </c>
      <c r="AC14" s="1077">
        <f t="shared" si="1"/>
        <v>0</v>
      </c>
      <c r="AD14" s="1078"/>
      <c r="AE14" s="1078"/>
      <c r="AF14" s="1078"/>
      <c r="AG14" s="1078"/>
      <c r="AH14" s="1078"/>
      <c r="AI14" s="1078"/>
      <c r="AJ14" s="1078"/>
      <c r="AK14" s="1078"/>
      <c r="AL14" s="1078"/>
      <c r="AM14" s="1078"/>
      <c r="AN14" s="1078"/>
      <c r="AO14" s="1078"/>
      <c r="AP14" s="1078"/>
      <c r="AQ14" s="1078"/>
      <c r="AR14" s="1078"/>
      <c r="AS14" s="1078"/>
      <c r="AT14" s="1078"/>
      <c r="AU14" s="1078"/>
      <c r="AV14" s="1078"/>
      <c r="AW14" s="1078"/>
      <c r="AX14" s="1078"/>
      <c r="AY14" s="1078"/>
      <c r="AZ14" s="1078"/>
      <c r="BA14" s="1078"/>
      <c r="BB14" s="1078"/>
    </row>
    <row r="15" spans="1:54" s="1079" customFormat="1" ht="33">
      <c r="A15" s="1080">
        <f t="shared" si="2"/>
        <v>7</v>
      </c>
      <c r="B15" s="1087" t="s">
        <v>1382</v>
      </c>
      <c r="C15" s="1082" t="s">
        <v>1385</v>
      </c>
      <c r="D15" s="1082" t="s">
        <v>1386</v>
      </c>
      <c r="E15" s="1088" t="s">
        <v>1387</v>
      </c>
      <c r="F15" s="1084" t="s">
        <v>1373</v>
      </c>
      <c r="G15" s="1085">
        <f t="shared" si="0"/>
        <v>1500000</v>
      </c>
      <c r="H15" s="1074"/>
      <c r="I15" s="1086"/>
      <c r="J15" s="1086">
        <v>1465000</v>
      </c>
      <c r="K15" s="1086"/>
      <c r="L15" s="1086"/>
      <c r="M15" s="1086"/>
      <c r="N15" s="1086"/>
      <c r="O15" s="1086"/>
      <c r="P15" s="1086"/>
      <c r="Q15" s="1086"/>
      <c r="R15" s="1086"/>
      <c r="S15" s="1086">
        <v>35000</v>
      </c>
      <c r="T15" s="1086"/>
      <c r="U15" s="1086"/>
      <c r="V15" s="1086"/>
      <c r="W15" s="1086"/>
      <c r="X15" s="1086"/>
      <c r="Y15" s="1086"/>
      <c r="Z15" s="1086"/>
      <c r="AA15" s="1076"/>
      <c r="AB15" s="1077">
        <v>1500000</v>
      </c>
      <c r="AC15" s="1077">
        <f t="shared" si="1"/>
        <v>0</v>
      </c>
      <c r="AD15" s="1078"/>
      <c r="AE15" s="1078"/>
      <c r="AF15" s="1078"/>
      <c r="AG15" s="1078"/>
      <c r="AH15" s="1078"/>
      <c r="AI15" s="1078"/>
      <c r="AJ15" s="1078"/>
      <c r="AK15" s="1078"/>
      <c r="AL15" s="1078"/>
      <c r="AM15" s="1078"/>
      <c r="AN15" s="1078"/>
      <c r="AO15" s="1078"/>
      <c r="AP15" s="1078"/>
      <c r="AQ15" s="1078"/>
      <c r="AR15" s="1078"/>
      <c r="AS15" s="1078"/>
      <c r="AT15" s="1078"/>
      <c r="AU15" s="1078"/>
      <c r="AV15" s="1078"/>
      <c r="AW15" s="1078"/>
      <c r="AX15" s="1078"/>
      <c r="AY15" s="1078"/>
      <c r="AZ15" s="1078"/>
      <c r="BA15" s="1078"/>
      <c r="BB15" s="1078"/>
    </row>
    <row r="16" spans="1:54" s="1079" customFormat="1" ht="33">
      <c r="A16" s="1080">
        <f t="shared" si="2"/>
        <v>8</v>
      </c>
      <c r="B16" s="1087" t="s">
        <v>1382</v>
      </c>
      <c r="C16" s="1082" t="s">
        <v>1388</v>
      </c>
      <c r="D16" s="1082" t="s">
        <v>1389</v>
      </c>
      <c r="E16" s="1083" t="s">
        <v>1372</v>
      </c>
      <c r="F16" s="1084" t="s">
        <v>1373</v>
      </c>
      <c r="G16" s="1085">
        <f t="shared" si="0"/>
        <v>2000000</v>
      </c>
      <c r="H16" s="1074"/>
      <c r="I16" s="1086"/>
      <c r="J16" s="1086"/>
      <c r="K16" s="1086"/>
      <c r="L16" s="1086">
        <v>1650000</v>
      </c>
      <c r="M16" s="1086">
        <v>350000</v>
      </c>
      <c r="N16" s="1086"/>
      <c r="O16" s="1086"/>
      <c r="P16" s="1086"/>
      <c r="Q16" s="1086"/>
      <c r="R16" s="1086"/>
      <c r="S16" s="1086"/>
      <c r="T16" s="1086"/>
      <c r="U16" s="1086"/>
      <c r="V16" s="1086"/>
      <c r="W16" s="1086"/>
      <c r="X16" s="1086"/>
      <c r="Y16" s="1086"/>
      <c r="Z16" s="1086"/>
      <c r="AA16" s="1076"/>
      <c r="AB16" s="1077">
        <v>2000000</v>
      </c>
      <c r="AC16" s="1077">
        <f t="shared" si="1"/>
        <v>0</v>
      </c>
      <c r="AD16" s="1078"/>
      <c r="AE16" s="1078"/>
      <c r="AF16" s="1078"/>
      <c r="AG16" s="1078"/>
      <c r="AH16" s="1078"/>
      <c r="AI16" s="1078"/>
      <c r="AJ16" s="1078"/>
      <c r="AK16" s="1078"/>
      <c r="AL16" s="1078"/>
      <c r="AM16" s="1078"/>
      <c r="AN16" s="1078"/>
      <c r="AO16" s="1078"/>
      <c r="AP16" s="1078"/>
      <c r="AQ16" s="1078"/>
      <c r="AR16" s="1078"/>
      <c r="AS16" s="1078"/>
      <c r="AT16" s="1078"/>
      <c r="AU16" s="1078"/>
      <c r="AV16" s="1078"/>
      <c r="AW16" s="1078"/>
      <c r="AX16" s="1078"/>
      <c r="AY16" s="1078"/>
      <c r="AZ16" s="1078"/>
      <c r="BA16" s="1078"/>
      <c r="BB16" s="1078"/>
    </row>
    <row r="17" spans="1:54" s="1079" customFormat="1" ht="33">
      <c r="A17" s="1080">
        <f t="shared" si="2"/>
        <v>9</v>
      </c>
      <c r="B17" s="1087" t="s">
        <v>1382</v>
      </c>
      <c r="C17" s="1082" t="s">
        <v>1390</v>
      </c>
      <c r="D17" s="1082" t="s">
        <v>1391</v>
      </c>
      <c r="E17" s="1083" t="s">
        <v>1372</v>
      </c>
      <c r="F17" s="1084" t="s">
        <v>1373</v>
      </c>
      <c r="G17" s="1085">
        <f t="shared" si="0"/>
        <v>3000000</v>
      </c>
      <c r="H17" s="1074"/>
      <c r="I17" s="1086"/>
      <c r="J17" s="1086"/>
      <c r="K17" s="1086"/>
      <c r="L17" s="1086">
        <v>3000000</v>
      </c>
      <c r="M17" s="1086"/>
      <c r="N17" s="1086"/>
      <c r="O17" s="1086"/>
      <c r="P17" s="1086"/>
      <c r="Q17" s="1086"/>
      <c r="R17" s="1086"/>
      <c r="S17" s="1086"/>
      <c r="T17" s="1086"/>
      <c r="U17" s="1086"/>
      <c r="V17" s="1086"/>
      <c r="W17" s="1086"/>
      <c r="X17" s="1086"/>
      <c r="Y17" s="1086"/>
      <c r="Z17" s="1086"/>
      <c r="AA17" s="1076"/>
      <c r="AB17" s="1077">
        <v>3000000</v>
      </c>
      <c r="AC17" s="1077">
        <f t="shared" si="1"/>
        <v>0</v>
      </c>
      <c r="AD17" s="1078"/>
      <c r="AE17" s="1078"/>
      <c r="AF17" s="1078"/>
      <c r="AG17" s="1078"/>
      <c r="AH17" s="1078"/>
      <c r="AI17" s="1078"/>
      <c r="AJ17" s="1078"/>
      <c r="AK17" s="1078"/>
      <c r="AL17" s="1078"/>
      <c r="AM17" s="1078"/>
      <c r="AN17" s="1078"/>
      <c r="AO17" s="1078"/>
      <c r="AP17" s="1078"/>
      <c r="AQ17" s="1078"/>
      <c r="AR17" s="1078"/>
      <c r="AS17" s="1078"/>
      <c r="AT17" s="1078"/>
      <c r="AU17" s="1078"/>
      <c r="AV17" s="1078"/>
      <c r="AW17" s="1078"/>
      <c r="AX17" s="1078"/>
      <c r="AY17" s="1078"/>
      <c r="AZ17" s="1078"/>
      <c r="BA17" s="1078"/>
      <c r="BB17" s="1078"/>
    </row>
    <row r="18" spans="1:54" s="1079" customFormat="1" ht="33">
      <c r="A18" s="1080">
        <f t="shared" si="2"/>
        <v>10</v>
      </c>
      <c r="B18" s="1087" t="s">
        <v>1382</v>
      </c>
      <c r="C18" s="1082" t="s">
        <v>1392</v>
      </c>
      <c r="D18" s="1082" t="s">
        <v>1393</v>
      </c>
      <c r="E18" s="1088" t="s">
        <v>1387</v>
      </c>
      <c r="F18" s="1084" t="s">
        <v>1373</v>
      </c>
      <c r="G18" s="1085">
        <f t="shared" si="0"/>
        <v>1500000</v>
      </c>
      <c r="H18" s="1074"/>
      <c r="I18" s="1086"/>
      <c r="J18" s="1086"/>
      <c r="K18" s="1086"/>
      <c r="L18" s="1086"/>
      <c r="M18" s="1086">
        <v>1500000</v>
      </c>
      <c r="N18" s="1086"/>
      <c r="O18" s="1086"/>
      <c r="P18" s="1086"/>
      <c r="Q18" s="1086"/>
      <c r="R18" s="1086"/>
      <c r="S18" s="1086"/>
      <c r="T18" s="1086"/>
      <c r="U18" s="1086"/>
      <c r="V18" s="1086"/>
      <c r="W18" s="1086"/>
      <c r="X18" s="1086"/>
      <c r="Y18" s="1086"/>
      <c r="Z18" s="1086"/>
      <c r="AA18" s="1076"/>
      <c r="AB18" s="1077">
        <v>1500000</v>
      </c>
      <c r="AC18" s="1077">
        <f t="shared" si="1"/>
        <v>0</v>
      </c>
      <c r="AD18" s="1078"/>
      <c r="AE18" s="1078"/>
      <c r="AF18" s="1078"/>
      <c r="AG18" s="1078"/>
      <c r="AH18" s="1078"/>
      <c r="AI18" s="1078"/>
      <c r="AJ18" s="1078"/>
      <c r="AK18" s="1078"/>
      <c r="AL18" s="1078"/>
      <c r="AM18" s="1078"/>
      <c r="AN18" s="1078"/>
      <c r="AO18" s="1078"/>
      <c r="AP18" s="1078"/>
      <c r="AQ18" s="1078"/>
      <c r="AR18" s="1078"/>
      <c r="AS18" s="1078"/>
      <c r="AT18" s="1078"/>
      <c r="AU18" s="1078"/>
      <c r="AV18" s="1078"/>
      <c r="AW18" s="1078"/>
      <c r="AX18" s="1078"/>
      <c r="AY18" s="1078"/>
      <c r="AZ18" s="1078"/>
      <c r="BA18" s="1078"/>
      <c r="BB18" s="1078"/>
    </row>
    <row r="19" spans="1:54" s="1079" customFormat="1" ht="33">
      <c r="A19" s="1080">
        <f t="shared" si="2"/>
        <v>11</v>
      </c>
      <c r="B19" s="1087" t="s">
        <v>1394</v>
      </c>
      <c r="C19" s="1082" t="s">
        <v>1395</v>
      </c>
      <c r="D19" s="1082" t="s">
        <v>1396</v>
      </c>
      <c r="E19" s="1083" t="s">
        <v>1372</v>
      </c>
      <c r="F19" s="1084" t="s">
        <v>1373</v>
      </c>
      <c r="G19" s="1085">
        <f t="shared" si="0"/>
        <v>3000000</v>
      </c>
      <c r="H19" s="1074"/>
      <c r="I19" s="1086"/>
      <c r="J19" s="1086"/>
      <c r="K19" s="1086"/>
      <c r="L19" s="1086">
        <v>500000</v>
      </c>
      <c r="M19" s="1086">
        <v>2500000</v>
      </c>
      <c r="N19" s="1086"/>
      <c r="O19" s="1086"/>
      <c r="P19" s="1086"/>
      <c r="Q19" s="1086"/>
      <c r="R19" s="1086"/>
      <c r="S19" s="1086"/>
      <c r="T19" s="1086"/>
      <c r="U19" s="1086"/>
      <c r="V19" s="1086"/>
      <c r="W19" s="1086"/>
      <c r="X19" s="1086"/>
      <c r="Y19" s="1086"/>
      <c r="Z19" s="1086"/>
      <c r="AA19" s="1076"/>
      <c r="AB19" s="1077">
        <v>3000000</v>
      </c>
      <c r="AC19" s="1077">
        <f t="shared" si="1"/>
        <v>0</v>
      </c>
      <c r="AD19" s="1078"/>
      <c r="AE19" s="1078"/>
      <c r="AF19" s="1078"/>
      <c r="AG19" s="1078"/>
      <c r="AH19" s="1078"/>
      <c r="AI19" s="1078"/>
      <c r="AJ19" s="1078"/>
      <c r="AK19" s="1078"/>
      <c r="AL19" s="1078"/>
      <c r="AM19" s="1078"/>
      <c r="AN19" s="1078"/>
      <c r="AO19" s="1078"/>
      <c r="AP19" s="1078"/>
      <c r="AQ19" s="1078"/>
      <c r="AR19" s="1078"/>
      <c r="AS19" s="1078"/>
      <c r="AT19" s="1078"/>
      <c r="AU19" s="1078"/>
      <c r="AV19" s="1078"/>
      <c r="AW19" s="1078"/>
      <c r="AX19" s="1078"/>
      <c r="AY19" s="1078"/>
      <c r="AZ19" s="1078"/>
      <c r="BA19" s="1078"/>
      <c r="BB19" s="1078"/>
    </row>
    <row r="20" spans="1:54" s="1079" customFormat="1" ht="33">
      <c r="A20" s="1080">
        <f t="shared" si="2"/>
        <v>12</v>
      </c>
      <c r="B20" s="1087" t="s">
        <v>1394</v>
      </c>
      <c r="C20" s="1082" t="s">
        <v>1397</v>
      </c>
      <c r="D20" s="1082" t="s">
        <v>1398</v>
      </c>
      <c r="E20" s="1083" t="s">
        <v>1372</v>
      </c>
      <c r="F20" s="1084" t="s">
        <v>1373</v>
      </c>
      <c r="G20" s="1085">
        <f t="shared" si="0"/>
        <v>2000000</v>
      </c>
      <c r="H20" s="1074"/>
      <c r="I20" s="1086"/>
      <c r="J20" s="1086"/>
      <c r="K20" s="1086"/>
      <c r="L20" s="1086">
        <v>1500000</v>
      </c>
      <c r="M20" s="1086">
        <v>500000</v>
      </c>
      <c r="N20" s="1086"/>
      <c r="O20" s="1086"/>
      <c r="P20" s="1086"/>
      <c r="Q20" s="1086"/>
      <c r="R20" s="1086"/>
      <c r="S20" s="1086"/>
      <c r="T20" s="1086"/>
      <c r="U20" s="1086"/>
      <c r="V20" s="1086"/>
      <c r="W20" s="1086"/>
      <c r="X20" s="1086"/>
      <c r="Y20" s="1086"/>
      <c r="Z20" s="1086"/>
      <c r="AA20" s="1076"/>
      <c r="AB20" s="1077">
        <v>2000000</v>
      </c>
      <c r="AC20" s="1077">
        <f t="shared" si="1"/>
        <v>0</v>
      </c>
      <c r="AD20" s="1078"/>
      <c r="AE20" s="1078"/>
      <c r="AF20" s="1078"/>
      <c r="AG20" s="1078"/>
      <c r="AH20" s="1078"/>
      <c r="AI20" s="1078"/>
      <c r="AJ20" s="1078"/>
      <c r="AK20" s="1078"/>
      <c r="AL20" s="1078"/>
      <c r="AM20" s="1078"/>
      <c r="AN20" s="1078"/>
      <c r="AO20" s="1078"/>
      <c r="AP20" s="1078"/>
      <c r="AQ20" s="1078"/>
      <c r="AR20" s="1078"/>
      <c r="AS20" s="1078"/>
      <c r="AT20" s="1078"/>
      <c r="AU20" s="1078"/>
      <c r="AV20" s="1078"/>
      <c r="AW20" s="1078"/>
      <c r="AX20" s="1078"/>
      <c r="AY20" s="1078"/>
      <c r="AZ20" s="1078"/>
      <c r="BA20" s="1078"/>
      <c r="BB20" s="1078"/>
    </row>
    <row r="21" spans="1:54" s="1079" customFormat="1" ht="33">
      <c r="A21" s="1080">
        <f t="shared" si="2"/>
        <v>13</v>
      </c>
      <c r="B21" s="1087" t="s">
        <v>1394</v>
      </c>
      <c r="C21" s="1082" t="s">
        <v>1399</v>
      </c>
      <c r="D21" s="1082" t="s">
        <v>1622</v>
      </c>
      <c r="E21" s="1083" t="s">
        <v>1372</v>
      </c>
      <c r="F21" s="1084" t="s">
        <v>671</v>
      </c>
      <c r="G21" s="1085">
        <f t="shared" si="0"/>
        <v>1500000</v>
      </c>
      <c r="H21" s="1074"/>
      <c r="I21" s="1086"/>
      <c r="J21" s="1086"/>
      <c r="K21" s="1086"/>
      <c r="L21" s="1086"/>
      <c r="M21" s="1086"/>
      <c r="N21" s="1086"/>
      <c r="O21" s="1086"/>
      <c r="P21" s="1086"/>
      <c r="Q21" s="1086"/>
      <c r="R21" s="1086"/>
      <c r="S21" s="1086"/>
      <c r="T21" s="1086"/>
      <c r="U21" s="1086"/>
      <c r="V21" s="1086"/>
      <c r="W21" s="1086"/>
      <c r="X21" s="1086"/>
      <c r="Y21" s="1086"/>
      <c r="Z21" s="1086">
        <v>1500000</v>
      </c>
      <c r="AA21" s="1076"/>
      <c r="AB21" s="1077">
        <v>1500000</v>
      </c>
      <c r="AC21" s="1077">
        <f t="shared" si="1"/>
        <v>0</v>
      </c>
      <c r="AD21" s="1078"/>
      <c r="AE21" s="1078"/>
      <c r="AF21" s="1078"/>
      <c r="AG21" s="1078"/>
      <c r="AH21" s="1078"/>
      <c r="AI21" s="1078"/>
      <c r="AJ21" s="1078"/>
      <c r="AK21" s="1078"/>
      <c r="AL21" s="1078"/>
      <c r="AM21" s="1078"/>
      <c r="AN21" s="1078"/>
      <c r="AO21" s="1078"/>
      <c r="AP21" s="1078"/>
      <c r="AQ21" s="1078"/>
      <c r="AR21" s="1078"/>
      <c r="AS21" s="1078"/>
      <c r="AT21" s="1078"/>
      <c r="AU21" s="1078"/>
      <c r="AV21" s="1078"/>
      <c r="AW21" s="1078"/>
      <c r="AX21" s="1078"/>
      <c r="AY21" s="1078"/>
      <c r="AZ21" s="1078"/>
      <c r="BA21" s="1078"/>
      <c r="BB21" s="1078"/>
    </row>
    <row r="22" spans="1:54" s="1079" customFormat="1" ht="33">
      <c r="A22" s="1080">
        <f t="shared" si="2"/>
        <v>14</v>
      </c>
      <c r="B22" s="1087" t="s">
        <v>1394</v>
      </c>
      <c r="C22" s="1082" t="s">
        <v>1400</v>
      </c>
      <c r="D22" s="1082" t="s">
        <v>1401</v>
      </c>
      <c r="E22" s="1083" t="s">
        <v>1372</v>
      </c>
      <c r="F22" s="1084" t="s">
        <v>1373</v>
      </c>
      <c r="G22" s="1085">
        <f t="shared" si="0"/>
        <v>1500000</v>
      </c>
      <c r="H22" s="1074"/>
      <c r="I22" s="1086"/>
      <c r="J22" s="1086">
        <v>75000</v>
      </c>
      <c r="K22" s="1086"/>
      <c r="L22" s="1086">
        <v>170000</v>
      </c>
      <c r="M22" s="1086">
        <v>1160000</v>
      </c>
      <c r="N22" s="1086">
        <v>60000</v>
      </c>
      <c r="O22" s="1086">
        <v>30000</v>
      </c>
      <c r="P22" s="1086"/>
      <c r="Q22" s="1086"/>
      <c r="R22" s="1086"/>
      <c r="S22" s="1086">
        <v>5000</v>
      </c>
      <c r="T22" s="1086"/>
      <c r="U22" s="1086"/>
      <c r="V22" s="1086"/>
      <c r="W22" s="1086"/>
      <c r="X22" s="1086"/>
      <c r="Y22" s="1086"/>
      <c r="Z22" s="1086"/>
      <c r="AA22" s="1076"/>
      <c r="AB22" s="1077">
        <v>1500000</v>
      </c>
      <c r="AC22" s="1077">
        <f t="shared" si="1"/>
        <v>0</v>
      </c>
      <c r="AD22" s="1078"/>
      <c r="AE22" s="1078"/>
      <c r="AF22" s="1078"/>
      <c r="AG22" s="1078"/>
      <c r="AH22" s="1078"/>
      <c r="AI22" s="1078"/>
      <c r="AJ22" s="1078"/>
      <c r="AK22" s="1078"/>
      <c r="AL22" s="1078"/>
      <c r="AM22" s="1078"/>
      <c r="AN22" s="1078"/>
      <c r="AO22" s="1078"/>
      <c r="AP22" s="1078"/>
      <c r="AQ22" s="1078"/>
      <c r="AR22" s="1078"/>
      <c r="AS22" s="1078"/>
      <c r="AT22" s="1078"/>
      <c r="AU22" s="1078"/>
      <c r="AV22" s="1078"/>
      <c r="AW22" s="1078"/>
      <c r="AX22" s="1078"/>
      <c r="AY22" s="1078"/>
      <c r="AZ22" s="1078"/>
      <c r="BA22" s="1078"/>
      <c r="BB22" s="1078"/>
    </row>
    <row r="23" spans="1:54" s="892" customFormat="1" ht="33">
      <c r="A23" s="1080">
        <f t="shared" si="2"/>
        <v>15</v>
      </c>
      <c r="B23" s="1087" t="s">
        <v>1394</v>
      </c>
      <c r="C23" s="1082" t="s">
        <v>1402</v>
      </c>
      <c r="D23" s="1082" t="s">
        <v>1403</v>
      </c>
      <c r="E23" s="1083" t="s">
        <v>1372</v>
      </c>
      <c r="F23" s="1084" t="s">
        <v>671</v>
      </c>
      <c r="G23" s="1085">
        <f t="shared" si="0"/>
        <v>2000000</v>
      </c>
      <c r="H23" s="1074"/>
      <c r="I23" s="1086"/>
      <c r="J23" s="1086"/>
      <c r="K23" s="1086"/>
      <c r="L23" s="1086"/>
      <c r="M23" s="1086"/>
      <c r="N23" s="1086"/>
      <c r="O23" s="1086"/>
      <c r="P23" s="1086"/>
      <c r="Q23" s="1086"/>
      <c r="R23" s="1086"/>
      <c r="S23" s="1086"/>
      <c r="T23" s="1086"/>
      <c r="U23" s="1086"/>
      <c r="V23" s="1086"/>
      <c r="W23" s="1086"/>
      <c r="X23" s="1086"/>
      <c r="Y23" s="1086">
        <v>2000000</v>
      </c>
      <c r="Z23" s="1086"/>
      <c r="AA23" s="1089"/>
      <c r="AB23" s="1090">
        <v>2000000</v>
      </c>
      <c r="AC23" s="1077">
        <f t="shared" si="1"/>
        <v>0</v>
      </c>
      <c r="AD23" s="894"/>
      <c r="AE23" s="894"/>
      <c r="AF23" s="894"/>
      <c r="AG23" s="894"/>
      <c r="AH23" s="894"/>
      <c r="AI23" s="894"/>
      <c r="AJ23" s="894"/>
      <c r="AK23" s="894"/>
      <c r="AL23" s="894"/>
      <c r="AM23" s="894"/>
      <c r="AN23" s="894"/>
      <c r="AO23" s="894"/>
      <c r="AP23" s="894"/>
      <c r="AQ23" s="894"/>
      <c r="AR23" s="894"/>
      <c r="AS23" s="894"/>
      <c r="AT23" s="894"/>
      <c r="AU23" s="894"/>
      <c r="AV23" s="894"/>
      <c r="AW23" s="894"/>
      <c r="AX23" s="894"/>
      <c r="AY23" s="894"/>
      <c r="AZ23" s="894"/>
      <c r="BA23" s="894"/>
      <c r="BB23" s="894"/>
    </row>
    <row r="24" spans="1:54" s="892" customFormat="1" ht="33">
      <c r="A24" s="1080">
        <f t="shared" si="2"/>
        <v>16</v>
      </c>
      <c r="B24" s="1087" t="s">
        <v>1404</v>
      </c>
      <c r="C24" s="1082" t="s">
        <v>1405</v>
      </c>
      <c r="D24" s="1082" t="s">
        <v>1406</v>
      </c>
      <c r="E24" s="1083" t="s">
        <v>1372</v>
      </c>
      <c r="F24" s="1084" t="s">
        <v>1373</v>
      </c>
      <c r="G24" s="1085">
        <f t="shared" si="0"/>
        <v>3500000</v>
      </c>
      <c r="H24" s="1074"/>
      <c r="I24" s="1086"/>
      <c r="J24" s="1086"/>
      <c r="K24" s="1086"/>
      <c r="L24" s="1086">
        <v>2527000</v>
      </c>
      <c r="M24" s="1086">
        <v>973000</v>
      </c>
      <c r="N24" s="1086"/>
      <c r="O24" s="1086"/>
      <c r="P24" s="1086"/>
      <c r="Q24" s="1086"/>
      <c r="R24" s="1086"/>
      <c r="S24" s="1086"/>
      <c r="T24" s="1086"/>
      <c r="U24" s="1086"/>
      <c r="V24" s="1086"/>
      <c r="W24" s="1086"/>
      <c r="X24" s="1086"/>
      <c r="Y24" s="1086"/>
      <c r="Z24" s="1086"/>
      <c r="AA24" s="1089"/>
      <c r="AB24" s="1090">
        <v>3500000</v>
      </c>
      <c r="AC24" s="1077">
        <f t="shared" si="1"/>
        <v>0</v>
      </c>
      <c r="AD24" s="894"/>
      <c r="AE24" s="894"/>
      <c r="AF24" s="894"/>
      <c r="AG24" s="894"/>
      <c r="AH24" s="894"/>
      <c r="AI24" s="894"/>
      <c r="AJ24" s="894"/>
      <c r="AK24" s="894"/>
      <c r="AL24" s="894"/>
      <c r="AM24" s="894"/>
      <c r="AN24" s="894"/>
      <c r="AO24" s="894"/>
      <c r="AP24" s="894"/>
      <c r="AQ24" s="894"/>
      <c r="AR24" s="894"/>
      <c r="AS24" s="894"/>
      <c r="AT24" s="894"/>
      <c r="AU24" s="894"/>
      <c r="AV24" s="894"/>
      <c r="AW24" s="894"/>
      <c r="AX24" s="894"/>
      <c r="AY24" s="894"/>
      <c r="AZ24" s="894"/>
      <c r="BA24" s="894"/>
      <c r="BB24" s="894"/>
    </row>
    <row r="25" spans="1:54" s="892" customFormat="1" ht="33">
      <c r="A25" s="1080">
        <f t="shared" si="2"/>
        <v>17</v>
      </c>
      <c r="B25" s="1087" t="s">
        <v>1404</v>
      </c>
      <c r="C25" s="1082" t="s">
        <v>1407</v>
      </c>
      <c r="D25" s="1082" t="s">
        <v>1408</v>
      </c>
      <c r="E25" s="1083" t="s">
        <v>1372</v>
      </c>
      <c r="F25" s="1084" t="s">
        <v>1373</v>
      </c>
      <c r="G25" s="1085">
        <f t="shared" si="0"/>
        <v>3000000</v>
      </c>
      <c r="H25" s="1074"/>
      <c r="I25" s="1086"/>
      <c r="J25" s="1086"/>
      <c r="K25" s="1086"/>
      <c r="L25" s="1086">
        <v>1120000</v>
      </c>
      <c r="M25" s="1086">
        <v>1880000</v>
      </c>
      <c r="N25" s="1086"/>
      <c r="O25" s="1086"/>
      <c r="P25" s="1086"/>
      <c r="Q25" s="1086"/>
      <c r="R25" s="1086"/>
      <c r="S25" s="1086"/>
      <c r="T25" s="1086"/>
      <c r="U25" s="1086"/>
      <c r="V25" s="1086"/>
      <c r="W25" s="1086"/>
      <c r="X25" s="1086"/>
      <c r="Y25" s="1086"/>
      <c r="Z25" s="1086"/>
      <c r="AA25" s="1089"/>
      <c r="AB25" s="1090">
        <v>3000000</v>
      </c>
      <c r="AC25" s="1077">
        <f t="shared" si="1"/>
        <v>0</v>
      </c>
      <c r="AD25" s="894"/>
      <c r="AE25" s="894"/>
      <c r="AF25" s="894"/>
      <c r="AG25" s="894"/>
      <c r="AH25" s="894"/>
      <c r="AI25" s="894"/>
      <c r="AJ25" s="894"/>
      <c r="AK25" s="894"/>
      <c r="AL25" s="894"/>
      <c r="AM25" s="894"/>
      <c r="AN25" s="894"/>
      <c r="AO25" s="894"/>
      <c r="AP25" s="894"/>
      <c r="AQ25" s="894"/>
      <c r="AR25" s="894"/>
      <c r="AS25" s="894"/>
      <c r="AT25" s="894"/>
      <c r="AU25" s="894"/>
      <c r="AV25" s="894"/>
      <c r="AW25" s="894"/>
      <c r="AX25" s="894"/>
      <c r="AY25" s="894"/>
      <c r="AZ25" s="894"/>
      <c r="BA25" s="894"/>
      <c r="BB25" s="894"/>
    </row>
    <row r="26" spans="1:54" s="892" customFormat="1" ht="33">
      <c r="A26" s="1080">
        <f t="shared" si="2"/>
        <v>18</v>
      </c>
      <c r="B26" s="1087" t="s">
        <v>1404</v>
      </c>
      <c r="C26" s="1082" t="s">
        <v>1409</v>
      </c>
      <c r="D26" s="1082" t="s">
        <v>1410</v>
      </c>
      <c r="E26" s="1083" t="s">
        <v>1372</v>
      </c>
      <c r="F26" s="1084" t="s">
        <v>1373</v>
      </c>
      <c r="G26" s="1085">
        <f t="shared" si="0"/>
        <v>3500000</v>
      </c>
      <c r="H26" s="1074"/>
      <c r="I26" s="1086"/>
      <c r="J26" s="1086"/>
      <c r="K26" s="1086"/>
      <c r="L26" s="1086">
        <v>640000</v>
      </c>
      <c r="M26" s="1086">
        <v>2860000</v>
      </c>
      <c r="N26" s="1086"/>
      <c r="O26" s="1086"/>
      <c r="P26" s="1086"/>
      <c r="Q26" s="1086"/>
      <c r="R26" s="1086"/>
      <c r="S26" s="1086"/>
      <c r="T26" s="1086"/>
      <c r="U26" s="1086"/>
      <c r="V26" s="1086"/>
      <c r="W26" s="1086"/>
      <c r="X26" s="1086"/>
      <c r="Y26" s="1086"/>
      <c r="Z26" s="1086"/>
      <c r="AA26" s="1089"/>
      <c r="AB26" s="1090">
        <v>3500000</v>
      </c>
      <c r="AC26" s="1077">
        <f t="shared" si="1"/>
        <v>0</v>
      </c>
      <c r="AD26" s="894"/>
      <c r="AE26" s="894"/>
      <c r="AF26" s="894"/>
      <c r="AG26" s="894"/>
      <c r="AH26" s="894"/>
      <c r="AI26" s="894"/>
      <c r="AJ26" s="894"/>
      <c r="AK26" s="894"/>
      <c r="AL26" s="894"/>
      <c r="AM26" s="894"/>
      <c r="AN26" s="894"/>
      <c r="AO26" s="894"/>
      <c r="AP26" s="894"/>
      <c r="AQ26" s="894"/>
      <c r="AR26" s="894"/>
      <c r="AS26" s="894"/>
      <c r="AT26" s="894"/>
      <c r="AU26" s="894"/>
      <c r="AV26" s="894"/>
      <c r="AW26" s="894"/>
      <c r="AX26" s="894"/>
      <c r="AY26" s="894"/>
      <c r="AZ26" s="894"/>
      <c r="BA26" s="894"/>
      <c r="BB26" s="894"/>
    </row>
    <row r="27" spans="1:54" s="892" customFormat="1" ht="33">
      <c r="A27" s="1080">
        <f t="shared" si="2"/>
        <v>19</v>
      </c>
      <c r="B27" s="1087" t="s">
        <v>1411</v>
      </c>
      <c r="C27" s="1082" t="s">
        <v>1412</v>
      </c>
      <c r="D27" s="1082" t="s">
        <v>1413</v>
      </c>
      <c r="E27" s="1083" t="s">
        <v>1372</v>
      </c>
      <c r="F27" s="1084" t="s">
        <v>1373</v>
      </c>
      <c r="G27" s="1085">
        <f t="shared" si="0"/>
        <v>875000</v>
      </c>
      <c r="H27" s="1074"/>
      <c r="I27" s="1086"/>
      <c r="J27" s="1086"/>
      <c r="K27" s="1086"/>
      <c r="L27" s="1086"/>
      <c r="M27" s="1086">
        <v>875000</v>
      </c>
      <c r="N27" s="1086"/>
      <c r="O27" s="1086"/>
      <c r="P27" s="1086"/>
      <c r="Q27" s="1086"/>
      <c r="R27" s="1086"/>
      <c r="S27" s="1086"/>
      <c r="T27" s="1086"/>
      <c r="U27" s="1086"/>
      <c r="V27" s="1086"/>
      <c r="W27" s="1086"/>
      <c r="X27" s="1086"/>
      <c r="Y27" s="1086"/>
      <c r="Z27" s="1086"/>
      <c r="AA27" s="1089"/>
      <c r="AB27" s="1090">
        <v>875000</v>
      </c>
      <c r="AC27" s="1077">
        <f t="shared" si="1"/>
        <v>0</v>
      </c>
      <c r="AD27" s="894"/>
      <c r="AE27" s="894"/>
      <c r="AF27" s="894"/>
      <c r="AG27" s="894"/>
      <c r="AH27" s="894"/>
      <c r="AI27" s="894"/>
      <c r="AJ27" s="894"/>
      <c r="AK27" s="894"/>
      <c r="AL27" s="894"/>
      <c r="AM27" s="894"/>
      <c r="AN27" s="894"/>
      <c r="AO27" s="894"/>
      <c r="AP27" s="894"/>
      <c r="AQ27" s="894"/>
      <c r="AR27" s="894"/>
      <c r="AS27" s="894"/>
      <c r="AT27" s="894"/>
      <c r="AU27" s="894"/>
      <c r="AV27" s="894"/>
      <c r="AW27" s="894"/>
      <c r="AX27" s="894"/>
      <c r="AY27" s="894"/>
      <c r="AZ27" s="894"/>
      <c r="BA27" s="894"/>
      <c r="BB27" s="894"/>
    </row>
    <row r="28" spans="1:54" s="892" customFormat="1" ht="33">
      <c r="A28" s="1080">
        <f t="shared" si="2"/>
        <v>20</v>
      </c>
      <c r="B28" s="1087" t="s">
        <v>1411</v>
      </c>
      <c r="C28" s="1082" t="s">
        <v>1414</v>
      </c>
      <c r="D28" s="1082" t="s">
        <v>1415</v>
      </c>
      <c r="E28" s="1088" t="s">
        <v>1387</v>
      </c>
      <c r="F28" s="1084" t="s">
        <v>1373</v>
      </c>
      <c r="G28" s="1085">
        <f t="shared" si="0"/>
        <v>875000</v>
      </c>
      <c r="H28" s="1074"/>
      <c r="I28" s="1086"/>
      <c r="J28" s="1086"/>
      <c r="K28" s="1086"/>
      <c r="L28" s="1086"/>
      <c r="M28" s="1086"/>
      <c r="N28" s="1086"/>
      <c r="O28" s="1086">
        <v>875000</v>
      </c>
      <c r="P28" s="1086"/>
      <c r="Q28" s="1086"/>
      <c r="R28" s="1086"/>
      <c r="S28" s="1086"/>
      <c r="T28" s="1086"/>
      <c r="U28" s="1086"/>
      <c r="V28" s="1086"/>
      <c r="W28" s="1086"/>
      <c r="X28" s="1086"/>
      <c r="Y28" s="1086"/>
      <c r="Z28" s="1086"/>
      <c r="AA28" s="1089"/>
      <c r="AB28" s="1090">
        <v>875000</v>
      </c>
      <c r="AC28" s="1077">
        <f t="shared" si="1"/>
        <v>0</v>
      </c>
      <c r="AD28" s="894"/>
      <c r="AE28" s="894"/>
      <c r="AF28" s="894"/>
      <c r="AG28" s="894"/>
      <c r="AH28" s="894"/>
      <c r="AI28" s="894"/>
      <c r="AJ28" s="894"/>
      <c r="AK28" s="894"/>
      <c r="AL28" s="894"/>
      <c r="AM28" s="894"/>
      <c r="AN28" s="894"/>
      <c r="AO28" s="894"/>
      <c r="AP28" s="894"/>
      <c r="AQ28" s="894"/>
      <c r="AR28" s="894"/>
      <c r="AS28" s="894"/>
      <c r="AT28" s="894"/>
      <c r="AU28" s="894"/>
      <c r="AV28" s="894"/>
      <c r="AW28" s="894"/>
      <c r="AX28" s="894"/>
      <c r="AY28" s="894"/>
      <c r="AZ28" s="894"/>
      <c r="BA28" s="894"/>
      <c r="BB28" s="894"/>
    </row>
    <row r="29" spans="1:54" s="1079" customFormat="1" ht="33">
      <c r="A29" s="1080">
        <f t="shared" si="2"/>
        <v>21</v>
      </c>
      <c r="B29" s="1087" t="s">
        <v>1411</v>
      </c>
      <c r="C29" s="1082" t="s">
        <v>1416</v>
      </c>
      <c r="D29" s="1082" t="s">
        <v>1417</v>
      </c>
      <c r="E29" s="1083" t="s">
        <v>1372</v>
      </c>
      <c r="F29" s="1091" t="s">
        <v>668</v>
      </c>
      <c r="G29" s="1085">
        <f t="shared" si="0"/>
        <v>875000</v>
      </c>
      <c r="H29" s="1074"/>
      <c r="I29" s="1086"/>
      <c r="J29" s="1086"/>
      <c r="K29" s="1086"/>
      <c r="L29" s="1086"/>
      <c r="M29" s="1086">
        <v>875000</v>
      </c>
      <c r="N29" s="1086"/>
      <c r="O29" s="1086"/>
      <c r="P29" s="1086"/>
      <c r="Q29" s="1086"/>
      <c r="R29" s="1086"/>
      <c r="S29" s="1086"/>
      <c r="T29" s="1086"/>
      <c r="U29" s="1086"/>
      <c r="V29" s="1086"/>
      <c r="W29" s="1086"/>
      <c r="X29" s="1086"/>
      <c r="Y29" s="1086"/>
      <c r="Z29" s="1086"/>
      <c r="AA29" s="1076"/>
      <c r="AB29" s="1077">
        <v>875000</v>
      </c>
      <c r="AC29" s="1077">
        <f t="shared" si="1"/>
        <v>0</v>
      </c>
      <c r="AD29" s="1078"/>
      <c r="AE29" s="1078"/>
      <c r="AF29" s="1078"/>
      <c r="AG29" s="1078"/>
      <c r="AH29" s="1078"/>
      <c r="AI29" s="1078"/>
      <c r="AJ29" s="1078"/>
      <c r="AK29" s="1078"/>
      <c r="AL29" s="1078"/>
      <c r="AM29" s="1078"/>
      <c r="AN29" s="1078"/>
      <c r="AO29" s="1078"/>
      <c r="AP29" s="1078"/>
      <c r="AQ29" s="1078"/>
      <c r="AR29" s="1078"/>
      <c r="AS29" s="1078"/>
      <c r="AT29" s="1078"/>
      <c r="AU29" s="1078"/>
      <c r="AV29" s="1078"/>
      <c r="AW29" s="1078"/>
      <c r="AX29" s="1078"/>
      <c r="AY29" s="1078"/>
      <c r="AZ29" s="1078"/>
      <c r="BA29" s="1078"/>
      <c r="BB29" s="1078"/>
    </row>
    <row r="30" spans="1:54" s="1079" customFormat="1" ht="33">
      <c r="A30" s="1080">
        <f t="shared" si="2"/>
        <v>22</v>
      </c>
      <c r="B30" s="1087" t="s">
        <v>1411</v>
      </c>
      <c r="C30" s="1082" t="s">
        <v>1418</v>
      </c>
      <c r="D30" s="1082" t="s">
        <v>1419</v>
      </c>
      <c r="E30" s="1083" t="s">
        <v>1372</v>
      </c>
      <c r="F30" s="1084" t="s">
        <v>1373</v>
      </c>
      <c r="G30" s="1085">
        <f t="shared" si="0"/>
        <v>875000</v>
      </c>
      <c r="H30" s="1074"/>
      <c r="I30" s="1086"/>
      <c r="J30" s="1086"/>
      <c r="K30" s="1086"/>
      <c r="L30" s="1086"/>
      <c r="M30" s="1086">
        <v>875000</v>
      </c>
      <c r="N30" s="1086"/>
      <c r="O30" s="1086"/>
      <c r="P30" s="1086"/>
      <c r="Q30" s="1086"/>
      <c r="R30" s="1086"/>
      <c r="S30" s="1086"/>
      <c r="T30" s="1086"/>
      <c r="U30" s="1086"/>
      <c r="V30" s="1086"/>
      <c r="W30" s="1086"/>
      <c r="X30" s="1086"/>
      <c r="Y30" s="1086"/>
      <c r="Z30" s="1086"/>
      <c r="AA30" s="1076"/>
      <c r="AB30" s="1077">
        <v>875000</v>
      </c>
      <c r="AC30" s="1077">
        <f t="shared" si="1"/>
        <v>0</v>
      </c>
      <c r="AD30" s="1078"/>
      <c r="AE30" s="1078"/>
      <c r="AF30" s="1078"/>
      <c r="AG30" s="1078"/>
      <c r="AH30" s="1078"/>
      <c r="AI30" s="1078"/>
      <c r="AJ30" s="1078"/>
      <c r="AK30" s="1078"/>
      <c r="AL30" s="1078"/>
      <c r="AM30" s="1078"/>
      <c r="AN30" s="1078"/>
      <c r="AO30" s="1078"/>
      <c r="AP30" s="1078"/>
      <c r="AQ30" s="1078"/>
      <c r="AR30" s="1078"/>
      <c r="AS30" s="1078"/>
      <c r="AT30" s="1078"/>
      <c r="AU30" s="1078"/>
      <c r="AV30" s="1078"/>
      <c r="AW30" s="1078"/>
      <c r="AX30" s="1078"/>
      <c r="AY30" s="1078"/>
      <c r="AZ30" s="1078"/>
      <c r="BA30" s="1078"/>
      <c r="BB30" s="1078"/>
    </row>
    <row r="31" spans="1:54" s="1079" customFormat="1" ht="33">
      <c r="A31" s="1080">
        <f t="shared" si="2"/>
        <v>23</v>
      </c>
      <c r="B31" s="1087" t="s">
        <v>1411</v>
      </c>
      <c r="C31" s="1082" t="s">
        <v>1420</v>
      </c>
      <c r="D31" s="1082" t="s">
        <v>1421</v>
      </c>
      <c r="E31" s="1088" t="s">
        <v>1387</v>
      </c>
      <c r="F31" s="1084" t="s">
        <v>1373</v>
      </c>
      <c r="G31" s="1085">
        <f t="shared" si="0"/>
        <v>875000</v>
      </c>
      <c r="H31" s="1074"/>
      <c r="I31" s="1086"/>
      <c r="J31" s="1086">
        <v>65000</v>
      </c>
      <c r="K31" s="1086"/>
      <c r="L31" s="1086">
        <v>765000</v>
      </c>
      <c r="M31" s="1086">
        <v>45000</v>
      </c>
      <c r="N31" s="1086"/>
      <c r="O31" s="1086"/>
      <c r="P31" s="1086"/>
      <c r="Q31" s="1086"/>
      <c r="R31" s="1086"/>
      <c r="S31" s="1086"/>
      <c r="T31" s="1086"/>
      <c r="U31" s="1086"/>
      <c r="V31" s="1086"/>
      <c r="W31" s="1086"/>
      <c r="X31" s="1086"/>
      <c r="Y31" s="1086"/>
      <c r="Z31" s="1086"/>
      <c r="AA31" s="1076"/>
      <c r="AB31" s="1077">
        <v>875000</v>
      </c>
      <c r="AC31" s="1077">
        <f t="shared" si="1"/>
        <v>0</v>
      </c>
      <c r="AD31" s="1078"/>
      <c r="AE31" s="1078"/>
      <c r="AF31" s="1078"/>
      <c r="AG31" s="1078"/>
      <c r="AH31" s="1078"/>
      <c r="AI31" s="1078"/>
      <c r="AJ31" s="1078"/>
      <c r="AK31" s="1078"/>
      <c r="AL31" s="1078"/>
      <c r="AM31" s="1078"/>
      <c r="AN31" s="1078"/>
      <c r="AO31" s="1078"/>
      <c r="AP31" s="1078"/>
      <c r="AQ31" s="1078"/>
      <c r="AR31" s="1078"/>
      <c r="AS31" s="1078"/>
      <c r="AT31" s="1078"/>
      <c r="AU31" s="1078"/>
      <c r="AV31" s="1078"/>
      <c r="AW31" s="1078"/>
      <c r="AX31" s="1078"/>
      <c r="AY31" s="1078"/>
      <c r="AZ31" s="1078"/>
      <c r="BA31" s="1078"/>
      <c r="BB31" s="1078"/>
    </row>
    <row r="32" spans="1:54" s="1079" customFormat="1" ht="33">
      <c r="A32" s="1080">
        <f t="shared" si="2"/>
        <v>24</v>
      </c>
      <c r="B32" s="1087" t="s">
        <v>1411</v>
      </c>
      <c r="C32" s="1082" t="s">
        <v>1422</v>
      </c>
      <c r="D32" s="1082" t="s">
        <v>1423</v>
      </c>
      <c r="E32" s="1083" t="s">
        <v>1372</v>
      </c>
      <c r="F32" s="1084" t="s">
        <v>1373</v>
      </c>
      <c r="G32" s="1085">
        <f t="shared" si="0"/>
        <v>875000</v>
      </c>
      <c r="H32" s="1074"/>
      <c r="I32" s="1086"/>
      <c r="J32" s="1086"/>
      <c r="K32" s="1086"/>
      <c r="L32" s="1086">
        <v>785000</v>
      </c>
      <c r="M32" s="1086">
        <v>90000</v>
      </c>
      <c r="N32" s="1086"/>
      <c r="O32" s="1086"/>
      <c r="P32" s="1086"/>
      <c r="Q32" s="1086"/>
      <c r="R32" s="1086"/>
      <c r="S32" s="1086"/>
      <c r="T32" s="1086"/>
      <c r="U32" s="1086"/>
      <c r="V32" s="1086"/>
      <c r="W32" s="1086"/>
      <c r="X32" s="1086"/>
      <c r="Y32" s="1086"/>
      <c r="Z32" s="1086"/>
      <c r="AA32" s="1076"/>
      <c r="AB32" s="1077">
        <v>875000</v>
      </c>
      <c r="AC32" s="1077">
        <f t="shared" si="1"/>
        <v>0</v>
      </c>
      <c r="AD32" s="1078"/>
      <c r="AE32" s="1078"/>
      <c r="AF32" s="1078"/>
      <c r="AG32" s="1078"/>
      <c r="AH32" s="1078"/>
      <c r="AI32" s="1078"/>
      <c r="AJ32" s="1078"/>
      <c r="AK32" s="1078"/>
      <c r="AL32" s="1078"/>
      <c r="AM32" s="1078"/>
      <c r="AN32" s="1078"/>
      <c r="AO32" s="1078"/>
      <c r="AP32" s="1078"/>
      <c r="AQ32" s="1078"/>
      <c r="AR32" s="1078"/>
      <c r="AS32" s="1078"/>
      <c r="AT32" s="1078"/>
      <c r="AU32" s="1078"/>
      <c r="AV32" s="1078"/>
      <c r="AW32" s="1078"/>
      <c r="AX32" s="1078"/>
      <c r="AY32" s="1078"/>
      <c r="AZ32" s="1078"/>
      <c r="BA32" s="1078"/>
      <c r="BB32" s="1078"/>
    </row>
    <row r="33" spans="1:54" s="1079" customFormat="1" ht="33">
      <c r="A33" s="1080">
        <f t="shared" si="2"/>
        <v>25</v>
      </c>
      <c r="B33" s="1087" t="s">
        <v>1411</v>
      </c>
      <c r="C33" s="1082" t="s">
        <v>1424</v>
      </c>
      <c r="D33" s="1082" t="s">
        <v>1425</v>
      </c>
      <c r="E33" s="1083" t="s">
        <v>1372</v>
      </c>
      <c r="F33" s="1084" t="s">
        <v>1373</v>
      </c>
      <c r="G33" s="1085">
        <f t="shared" si="0"/>
        <v>875000</v>
      </c>
      <c r="H33" s="1074"/>
      <c r="I33" s="1086"/>
      <c r="J33" s="1086">
        <v>481000</v>
      </c>
      <c r="K33" s="1086"/>
      <c r="L33" s="1086">
        <v>96000</v>
      </c>
      <c r="M33" s="1086">
        <v>103000</v>
      </c>
      <c r="N33" s="1086"/>
      <c r="O33" s="1086">
        <v>84000</v>
      </c>
      <c r="P33" s="1086"/>
      <c r="Q33" s="1086">
        <v>60000</v>
      </c>
      <c r="R33" s="1086"/>
      <c r="S33" s="1086">
        <v>33000</v>
      </c>
      <c r="T33" s="1086">
        <v>18000</v>
      </c>
      <c r="U33" s="1086"/>
      <c r="V33" s="1086"/>
      <c r="W33" s="1086"/>
      <c r="X33" s="1086"/>
      <c r="Y33" s="1086"/>
      <c r="Z33" s="1086"/>
      <c r="AA33" s="1076"/>
      <c r="AB33" s="1077">
        <v>875000</v>
      </c>
      <c r="AC33" s="1077">
        <f t="shared" si="1"/>
        <v>0</v>
      </c>
      <c r="AD33" s="1078"/>
      <c r="AE33" s="1078"/>
      <c r="AF33" s="1078"/>
      <c r="AG33" s="1078"/>
      <c r="AH33" s="1078"/>
      <c r="AI33" s="1078"/>
      <c r="AJ33" s="1078"/>
      <c r="AK33" s="1078"/>
      <c r="AL33" s="1078"/>
      <c r="AM33" s="1078"/>
      <c r="AN33" s="1078"/>
      <c r="AO33" s="1078"/>
      <c r="AP33" s="1078"/>
      <c r="AQ33" s="1078"/>
      <c r="AR33" s="1078"/>
      <c r="AS33" s="1078"/>
      <c r="AT33" s="1078"/>
      <c r="AU33" s="1078"/>
      <c r="AV33" s="1078"/>
      <c r="AW33" s="1078"/>
      <c r="AX33" s="1078"/>
      <c r="AY33" s="1078"/>
      <c r="AZ33" s="1078"/>
      <c r="BA33" s="1078"/>
      <c r="BB33" s="1078"/>
    </row>
    <row r="34" spans="1:54" s="1079" customFormat="1" ht="33">
      <c r="A34" s="1080">
        <f t="shared" si="2"/>
        <v>26</v>
      </c>
      <c r="B34" s="1087" t="s">
        <v>1411</v>
      </c>
      <c r="C34" s="1082" t="s">
        <v>1426</v>
      </c>
      <c r="D34" s="1082" t="s">
        <v>1427</v>
      </c>
      <c r="E34" s="1083" t="s">
        <v>1372</v>
      </c>
      <c r="F34" s="1084" t="s">
        <v>1373</v>
      </c>
      <c r="G34" s="1085">
        <f t="shared" si="0"/>
        <v>3000000</v>
      </c>
      <c r="H34" s="1074"/>
      <c r="I34" s="1086"/>
      <c r="J34" s="1086"/>
      <c r="K34" s="1086"/>
      <c r="L34" s="1086">
        <v>1800000</v>
      </c>
      <c r="M34" s="1086">
        <v>1200000</v>
      </c>
      <c r="N34" s="1086"/>
      <c r="O34" s="1086"/>
      <c r="P34" s="1086"/>
      <c r="Q34" s="1086"/>
      <c r="R34" s="1086"/>
      <c r="S34" s="1086"/>
      <c r="T34" s="1086"/>
      <c r="U34" s="1086"/>
      <c r="V34" s="1086"/>
      <c r="W34" s="1086"/>
      <c r="X34" s="1086"/>
      <c r="Y34" s="1086"/>
      <c r="Z34" s="1086"/>
      <c r="AA34" s="1076"/>
      <c r="AB34" s="1077">
        <v>3000000</v>
      </c>
      <c r="AC34" s="1077">
        <f t="shared" si="1"/>
        <v>0</v>
      </c>
      <c r="AD34" s="1078"/>
      <c r="AE34" s="1078"/>
      <c r="AF34" s="1078"/>
      <c r="AG34" s="1078"/>
      <c r="AH34" s="1078"/>
      <c r="AI34" s="1078"/>
      <c r="AJ34" s="1078"/>
      <c r="AK34" s="1078"/>
      <c r="AL34" s="1078"/>
      <c r="AM34" s="1078"/>
      <c r="AN34" s="1078"/>
      <c r="AO34" s="1078"/>
      <c r="AP34" s="1078"/>
      <c r="AQ34" s="1078"/>
      <c r="AR34" s="1078"/>
      <c r="AS34" s="1078"/>
      <c r="AT34" s="1078"/>
      <c r="AU34" s="1078"/>
      <c r="AV34" s="1078"/>
      <c r="AW34" s="1078"/>
      <c r="AX34" s="1078"/>
      <c r="AY34" s="1078"/>
      <c r="AZ34" s="1078"/>
      <c r="BA34" s="1078"/>
      <c r="BB34" s="1078"/>
    </row>
    <row r="35" spans="1:54" s="1079" customFormat="1" ht="33">
      <c r="A35" s="1080">
        <f t="shared" si="2"/>
        <v>27</v>
      </c>
      <c r="B35" s="1087" t="s">
        <v>1411</v>
      </c>
      <c r="C35" s="1082" t="s">
        <v>1428</v>
      </c>
      <c r="D35" s="1082" t="s">
        <v>1429</v>
      </c>
      <c r="E35" s="1088" t="s">
        <v>1430</v>
      </c>
      <c r="F35" s="1084" t="s">
        <v>1373</v>
      </c>
      <c r="G35" s="1085">
        <f t="shared" si="0"/>
        <v>875000</v>
      </c>
      <c r="H35" s="1074"/>
      <c r="I35" s="1086"/>
      <c r="J35" s="1086"/>
      <c r="K35" s="1086"/>
      <c r="L35" s="1086">
        <v>305000</v>
      </c>
      <c r="M35" s="1086">
        <v>290000</v>
      </c>
      <c r="N35" s="1086"/>
      <c r="O35" s="1086">
        <v>32000</v>
      </c>
      <c r="P35" s="1086"/>
      <c r="Q35" s="1086">
        <v>55000</v>
      </c>
      <c r="R35" s="1086">
        <v>193000</v>
      </c>
      <c r="S35" s="1086"/>
      <c r="T35" s="1086"/>
      <c r="U35" s="1086"/>
      <c r="V35" s="1086"/>
      <c r="W35" s="1086"/>
      <c r="X35" s="1086"/>
      <c r="Y35" s="1086"/>
      <c r="Z35" s="1086"/>
      <c r="AA35" s="1076"/>
      <c r="AB35" s="1077">
        <v>875000</v>
      </c>
      <c r="AC35" s="1077">
        <f t="shared" si="1"/>
        <v>0</v>
      </c>
      <c r="AD35" s="1078"/>
      <c r="AE35" s="1078"/>
      <c r="AF35" s="1078"/>
      <c r="AG35" s="1078"/>
      <c r="AH35" s="1078"/>
      <c r="AI35" s="1078"/>
      <c r="AJ35" s="1078"/>
      <c r="AK35" s="1078"/>
      <c r="AL35" s="1078"/>
      <c r="AM35" s="1078"/>
      <c r="AN35" s="1078"/>
      <c r="AO35" s="1078"/>
      <c r="AP35" s="1078"/>
      <c r="AQ35" s="1078"/>
      <c r="AR35" s="1078"/>
      <c r="AS35" s="1078"/>
      <c r="AT35" s="1078"/>
      <c r="AU35" s="1078"/>
      <c r="AV35" s="1078"/>
      <c r="AW35" s="1078"/>
      <c r="AX35" s="1078"/>
      <c r="AY35" s="1078"/>
      <c r="AZ35" s="1078"/>
      <c r="BA35" s="1078"/>
      <c r="BB35" s="1078"/>
    </row>
    <row r="36" spans="1:54" s="1079" customFormat="1" ht="33">
      <c r="A36" s="1080">
        <f t="shared" si="2"/>
        <v>28</v>
      </c>
      <c r="B36" s="1087" t="s">
        <v>1431</v>
      </c>
      <c r="C36" s="1082" t="s">
        <v>1432</v>
      </c>
      <c r="D36" s="1082" t="s">
        <v>1433</v>
      </c>
      <c r="E36" s="1088" t="s">
        <v>1430</v>
      </c>
      <c r="F36" s="1084" t="s">
        <v>1373</v>
      </c>
      <c r="G36" s="1085">
        <f t="shared" si="0"/>
        <v>2325000</v>
      </c>
      <c r="H36" s="1074"/>
      <c r="I36" s="1086"/>
      <c r="J36" s="1086">
        <v>125000</v>
      </c>
      <c r="K36" s="1086"/>
      <c r="L36" s="1086">
        <v>1000000</v>
      </c>
      <c r="M36" s="1086">
        <v>1000000</v>
      </c>
      <c r="N36" s="1086">
        <v>200000</v>
      </c>
      <c r="O36" s="1086"/>
      <c r="P36" s="1086"/>
      <c r="Q36" s="1086"/>
      <c r="R36" s="1086"/>
      <c r="S36" s="1086"/>
      <c r="T36" s="1086"/>
      <c r="U36" s="1086"/>
      <c r="V36" s="1086"/>
      <c r="W36" s="1086"/>
      <c r="X36" s="1086"/>
      <c r="Y36" s="1086"/>
      <c r="Z36" s="1086"/>
      <c r="AA36" s="1076"/>
      <c r="AB36" s="1077">
        <v>2325000</v>
      </c>
      <c r="AC36" s="1077">
        <f t="shared" si="1"/>
        <v>0</v>
      </c>
      <c r="AD36" s="1078"/>
      <c r="AE36" s="1078"/>
      <c r="AF36" s="1078"/>
      <c r="AG36" s="1078"/>
      <c r="AH36" s="1078"/>
      <c r="AI36" s="1078"/>
      <c r="AJ36" s="1078"/>
      <c r="AK36" s="1078"/>
      <c r="AL36" s="1078"/>
      <c r="AM36" s="1078"/>
      <c r="AN36" s="1078"/>
      <c r="AO36" s="1078"/>
      <c r="AP36" s="1078"/>
      <c r="AQ36" s="1078"/>
      <c r="AR36" s="1078"/>
      <c r="AS36" s="1078"/>
      <c r="AT36" s="1078"/>
      <c r="AU36" s="1078"/>
      <c r="AV36" s="1078"/>
      <c r="AW36" s="1078"/>
      <c r="AX36" s="1078"/>
      <c r="AY36" s="1078"/>
      <c r="AZ36" s="1078"/>
      <c r="BA36" s="1078"/>
      <c r="BB36" s="1078"/>
    </row>
    <row r="37" spans="1:54" s="1079" customFormat="1" ht="33">
      <c r="A37" s="1080">
        <f t="shared" si="2"/>
        <v>29</v>
      </c>
      <c r="B37" s="1087" t="s">
        <v>1431</v>
      </c>
      <c r="C37" s="1082" t="s">
        <v>1434</v>
      </c>
      <c r="D37" s="1082" t="s">
        <v>1435</v>
      </c>
      <c r="E37" s="1088" t="s">
        <v>1430</v>
      </c>
      <c r="F37" s="1084" t="s">
        <v>1373</v>
      </c>
      <c r="G37" s="1085">
        <f t="shared" si="0"/>
        <v>2325000</v>
      </c>
      <c r="H37" s="1074"/>
      <c r="I37" s="1086"/>
      <c r="J37" s="1086">
        <v>125000</v>
      </c>
      <c r="K37" s="1086"/>
      <c r="L37" s="1086">
        <v>1000000</v>
      </c>
      <c r="M37" s="1086">
        <v>1000000</v>
      </c>
      <c r="N37" s="1086">
        <v>200000</v>
      </c>
      <c r="O37" s="1086"/>
      <c r="P37" s="1086"/>
      <c r="Q37" s="1086"/>
      <c r="R37" s="1086"/>
      <c r="S37" s="1086"/>
      <c r="T37" s="1086"/>
      <c r="U37" s="1086"/>
      <c r="V37" s="1086"/>
      <c r="W37" s="1086"/>
      <c r="X37" s="1086"/>
      <c r="Y37" s="1086"/>
      <c r="Z37" s="1086"/>
      <c r="AA37" s="1076"/>
      <c r="AB37" s="1077">
        <v>2325000</v>
      </c>
      <c r="AC37" s="1077">
        <f t="shared" si="1"/>
        <v>0</v>
      </c>
      <c r="AD37" s="1078"/>
      <c r="AE37" s="1078"/>
      <c r="AF37" s="1078"/>
      <c r="AG37" s="1078"/>
      <c r="AH37" s="1078"/>
      <c r="AI37" s="1078"/>
      <c r="AJ37" s="1078"/>
      <c r="AK37" s="1078"/>
      <c r="AL37" s="1078"/>
      <c r="AM37" s="1078"/>
      <c r="AN37" s="1078"/>
      <c r="AO37" s="1078"/>
      <c r="AP37" s="1078"/>
      <c r="AQ37" s="1078"/>
      <c r="AR37" s="1078"/>
      <c r="AS37" s="1078"/>
      <c r="AT37" s="1078"/>
      <c r="AU37" s="1078"/>
      <c r="AV37" s="1078"/>
      <c r="AW37" s="1078"/>
      <c r="AX37" s="1078"/>
      <c r="AY37" s="1078"/>
      <c r="AZ37" s="1078"/>
      <c r="BA37" s="1078"/>
      <c r="BB37" s="1078"/>
    </row>
    <row r="38" spans="1:54" s="1079" customFormat="1" ht="33">
      <c r="A38" s="1080">
        <f t="shared" si="2"/>
        <v>30</v>
      </c>
      <c r="B38" s="1087" t="s">
        <v>1431</v>
      </c>
      <c r="C38" s="1082" t="s">
        <v>1436</v>
      </c>
      <c r="D38" s="1082" t="s">
        <v>1437</v>
      </c>
      <c r="E38" s="1083" t="s">
        <v>1372</v>
      </c>
      <c r="F38" s="1084" t="s">
        <v>1373</v>
      </c>
      <c r="G38" s="1085">
        <f t="shared" si="0"/>
        <v>1500000</v>
      </c>
      <c r="H38" s="1074"/>
      <c r="I38" s="1086"/>
      <c r="J38" s="1086">
        <v>215000</v>
      </c>
      <c r="K38" s="1086"/>
      <c r="L38" s="1086">
        <v>750000</v>
      </c>
      <c r="M38" s="1086">
        <v>410000</v>
      </c>
      <c r="N38" s="1086">
        <v>75000</v>
      </c>
      <c r="O38" s="1086"/>
      <c r="P38" s="1086"/>
      <c r="Q38" s="1086"/>
      <c r="R38" s="1086">
        <v>50000</v>
      </c>
      <c r="S38" s="1086"/>
      <c r="T38" s="1086"/>
      <c r="U38" s="1086"/>
      <c r="V38" s="1086"/>
      <c r="W38" s="1086"/>
      <c r="X38" s="1086"/>
      <c r="Y38" s="1086"/>
      <c r="Z38" s="1086"/>
      <c r="AA38" s="1076"/>
      <c r="AB38" s="1077">
        <v>1500000</v>
      </c>
      <c r="AC38" s="1077">
        <f t="shared" si="1"/>
        <v>0</v>
      </c>
      <c r="AD38" s="1078"/>
      <c r="AE38" s="1078"/>
      <c r="AF38" s="1078"/>
      <c r="AG38" s="1078"/>
      <c r="AH38" s="1078"/>
      <c r="AI38" s="1078"/>
      <c r="AJ38" s="1078"/>
      <c r="AK38" s="1078"/>
      <c r="AL38" s="1078"/>
      <c r="AM38" s="1078"/>
      <c r="AN38" s="1078"/>
      <c r="AO38" s="1078"/>
      <c r="AP38" s="1078"/>
      <c r="AQ38" s="1078"/>
      <c r="AR38" s="1078"/>
      <c r="AS38" s="1078"/>
      <c r="AT38" s="1078"/>
      <c r="AU38" s="1078"/>
      <c r="AV38" s="1078"/>
      <c r="AW38" s="1078"/>
      <c r="AX38" s="1078"/>
      <c r="AY38" s="1078"/>
      <c r="AZ38" s="1078"/>
      <c r="BA38" s="1078"/>
      <c r="BB38" s="1078"/>
    </row>
    <row r="39" spans="1:54" s="1079" customFormat="1" ht="33">
      <c r="A39" s="1080">
        <f t="shared" si="2"/>
        <v>31</v>
      </c>
      <c r="B39" s="1087" t="s">
        <v>1431</v>
      </c>
      <c r="C39" s="1082" t="s">
        <v>1438</v>
      </c>
      <c r="D39" s="1082" t="s">
        <v>1439</v>
      </c>
      <c r="E39" s="1088" t="s">
        <v>1430</v>
      </c>
      <c r="F39" s="1084" t="s">
        <v>1373</v>
      </c>
      <c r="G39" s="1085">
        <f t="shared" si="0"/>
        <v>1500000</v>
      </c>
      <c r="H39" s="1074"/>
      <c r="I39" s="1086"/>
      <c r="J39" s="1086">
        <v>295000</v>
      </c>
      <c r="K39" s="1086"/>
      <c r="L39" s="1086"/>
      <c r="M39" s="1086">
        <v>1205000</v>
      </c>
      <c r="N39" s="1086"/>
      <c r="O39" s="1086"/>
      <c r="P39" s="1086"/>
      <c r="Q39" s="1086"/>
      <c r="R39" s="1086"/>
      <c r="S39" s="1086"/>
      <c r="T39" s="1086"/>
      <c r="U39" s="1086"/>
      <c r="V39" s="1086"/>
      <c r="W39" s="1086"/>
      <c r="X39" s="1086"/>
      <c r="Y39" s="1086"/>
      <c r="Z39" s="1086"/>
      <c r="AA39" s="1076"/>
      <c r="AB39" s="1077">
        <v>1500000</v>
      </c>
      <c r="AC39" s="1077">
        <f t="shared" si="1"/>
        <v>0</v>
      </c>
      <c r="AD39" s="1078"/>
      <c r="AE39" s="1078"/>
      <c r="AF39" s="1078"/>
      <c r="AG39" s="1078"/>
      <c r="AH39" s="1078"/>
      <c r="AI39" s="1078"/>
      <c r="AJ39" s="1078"/>
      <c r="AK39" s="1078"/>
      <c r="AL39" s="1078"/>
      <c r="AM39" s="1078"/>
      <c r="AN39" s="1078"/>
      <c r="AO39" s="1078"/>
      <c r="AP39" s="1078"/>
      <c r="AQ39" s="1078"/>
      <c r="AR39" s="1078"/>
      <c r="AS39" s="1078"/>
      <c r="AT39" s="1078"/>
      <c r="AU39" s="1078"/>
      <c r="AV39" s="1078"/>
      <c r="AW39" s="1078"/>
      <c r="AX39" s="1078"/>
      <c r="AY39" s="1078"/>
      <c r="AZ39" s="1078"/>
      <c r="BA39" s="1078"/>
      <c r="BB39" s="1078"/>
    </row>
    <row r="40" spans="1:54" s="1079" customFormat="1" ht="33">
      <c r="A40" s="1080">
        <f t="shared" si="2"/>
        <v>32</v>
      </c>
      <c r="B40" s="1087" t="s">
        <v>1431</v>
      </c>
      <c r="C40" s="1082" t="s">
        <v>1440</v>
      </c>
      <c r="D40" s="1082" t="s">
        <v>1441</v>
      </c>
      <c r="E40" s="1088" t="s">
        <v>1430</v>
      </c>
      <c r="F40" s="1084" t="s">
        <v>1373</v>
      </c>
      <c r="G40" s="1085">
        <f t="shared" si="0"/>
        <v>2350000</v>
      </c>
      <c r="H40" s="1074"/>
      <c r="I40" s="1086"/>
      <c r="J40" s="1086">
        <v>150000</v>
      </c>
      <c r="K40" s="1086"/>
      <c r="L40" s="1086">
        <v>1000000</v>
      </c>
      <c r="M40" s="1086">
        <v>1000000</v>
      </c>
      <c r="N40" s="1086">
        <v>200000</v>
      </c>
      <c r="O40" s="1086"/>
      <c r="P40" s="1086"/>
      <c r="Q40" s="1086"/>
      <c r="R40" s="1086"/>
      <c r="S40" s="1086"/>
      <c r="T40" s="1086"/>
      <c r="U40" s="1086"/>
      <c r="V40" s="1086"/>
      <c r="W40" s="1086"/>
      <c r="X40" s="1086"/>
      <c r="Y40" s="1086"/>
      <c r="Z40" s="1086"/>
      <c r="AA40" s="1076"/>
      <c r="AB40" s="1077">
        <v>2350000</v>
      </c>
      <c r="AC40" s="1077">
        <f t="shared" si="1"/>
        <v>0</v>
      </c>
      <c r="AD40" s="1078"/>
      <c r="AE40" s="1078"/>
      <c r="AF40" s="1078"/>
      <c r="AG40" s="1078"/>
      <c r="AH40" s="1078"/>
      <c r="AI40" s="1078"/>
      <c r="AJ40" s="1078"/>
      <c r="AK40" s="1078"/>
      <c r="AL40" s="1078"/>
      <c r="AM40" s="1078"/>
      <c r="AN40" s="1078"/>
      <c r="AO40" s="1078"/>
      <c r="AP40" s="1078"/>
      <c r="AQ40" s="1078"/>
      <c r="AR40" s="1078"/>
      <c r="AS40" s="1078"/>
      <c r="AT40" s="1078"/>
      <c r="AU40" s="1078"/>
      <c r="AV40" s="1078"/>
      <c r="AW40" s="1078"/>
      <c r="AX40" s="1078"/>
      <c r="AY40" s="1078"/>
      <c r="AZ40" s="1078"/>
      <c r="BA40" s="1078"/>
      <c r="BB40" s="1078"/>
    </row>
    <row r="41" spans="1:54" s="1079" customFormat="1" ht="49.5">
      <c r="A41" s="1080">
        <f t="shared" si="2"/>
        <v>33</v>
      </c>
      <c r="B41" s="1087" t="s">
        <v>1442</v>
      </c>
      <c r="C41" s="1082" t="s">
        <v>1443</v>
      </c>
      <c r="D41" s="1082" t="s">
        <v>1444</v>
      </c>
      <c r="E41" s="1083" t="s">
        <v>1372</v>
      </c>
      <c r="F41" s="1084" t="s">
        <v>668</v>
      </c>
      <c r="G41" s="1085">
        <f t="shared" si="0"/>
        <v>2000000</v>
      </c>
      <c r="H41" s="1074"/>
      <c r="I41" s="1086">
        <v>2000000</v>
      </c>
      <c r="J41" s="1086"/>
      <c r="K41" s="1086"/>
      <c r="L41" s="1086"/>
      <c r="M41" s="1086"/>
      <c r="N41" s="1086"/>
      <c r="O41" s="1086"/>
      <c r="P41" s="1086"/>
      <c r="Q41" s="1086"/>
      <c r="R41" s="1086"/>
      <c r="S41" s="1086"/>
      <c r="T41" s="1086"/>
      <c r="U41" s="1086"/>
      <c r="V41" s="1086"/>
      <c r="W41" s="1086"/>
      <c r="X41" s="1086"/>
      <c r="Y41" s="1086"/>
      <c r="Z41" s="1086"/>
      <c r="AA41" s="1076"/>
      <c r="AB41" s="1077">
        <v>2000000</v>
      </c>
      <c r="AC41" s="1077">
        <f t="shared" si="1"/>
        <v>0</v>
      </c>
      <c r="AD41" s="1078"/>
      <c r="AE41" s="1078"/>
      <c r="AF41" s="1078"/>
      <c r="AG41" s="1078"/>
      <c r="AH41" s="1078"/>
      <c r="AI41" s="1078"/>
      <c r="AJ41" s="1078"/>
      <c r="AK41" s="1078"/>
      <c r="AL41" s="1078"/>
      <c r="AM41" s="1078"/>
      <c r="AN41" s="1078"/>
      <c r="AO41" s="1078"/>
      <c r="AP41" s="1078"/>
      <c r="AQ41" s="1078"/>
      <c r="AR41" s="1078"/>
      <c r="AS41" s="1078"/>
      <c r="AT41" s="1078"/>
      <c r="AU41" s="1078"/>
      <c r="AV41" s="1078"/>
      <c r="AW41" s="1078"/>
      <c r="AX41" s="1078"/>
      <c r="AY41" s="1078"/>
      <c r="AZ41" s="1078"/>
      <c r="BA41" s="1078"/>
      <c r="BB41" s="1078"/>
    </row>
    <row r="42" spans="1:54" s="1079" customFormat="1" ht="33">
      <c r="A42" s="1080">
        <f t="shared" si="2"/>
        <v>34</v>
      </c>
      <c r="B42" s="1087" t="s">
        <v>1442</v>
      </c>
      <c r="C42" s="1082" t="s">
        <v>1445</v>
      </c>
      <c r="D42" s="1082" t="s">
        <v>1446</v>
      </c>
      <c r="E42" s="1088" t="s">
        <v>1430</v>
      </c>
      <c r="F42" s="1084" t="s">
        <v>671</v>
      </c>
      <c r="G42" s="1085">
        <f t="shared" si="0"/>
        <v>1000000</v>
      </c>
      <c r="H42" s="1074"/>
      <c r="I42" s="1086"/>
      <c r="J42" s="1086"/>
      <c r="K42" s="1086"/>
      <c r="L42" s="1086"/>
      <c r="M42" s="1086"/>
      <c r="N42" s="1086"/>
      <c r="O42" s="1086"/>
      <c r="P42" s="1086"/>
      <c r="Q42" s="1086"/>
      <c r="R42" s="1086"/>
      <c r="S42" s="1086"/>
      <c r="T42" s="1086"/>
      <c r="U42" s="1086"/>
      <c r="V42" s="1086"/>
      <c r="W42" s="1086"/>
      <c r="X42" s="1086"/>
      <c r="Y42" s="1086">
        <v>1000000</v>
      </c>
      <c r="Z42" s="1086"/>
      <c r="AA42" s="1076"/>
      <c r="AB42" s="1077">
        <v>1000000</v>
      </c>
      <c r="AC42" s="1077">
        <f t="shared" si="1"/>
        <v>0</v>
      </c>
      <c r="AD42" s="1078"/>
      <c r="AE42" s="1078"/>
      <c r="AF42" s="1078"/>
      <c r="AG42" s="1078"/>
      <c r="AH42" s="1078"/>
      <c r="AI42" s="1078"/>
      <c r="AJ42" s="1078"/>
      <c r="AK42" s="1078"/>
      <c r="AL42" s="1078"/>
      <c r="AM42" s="1078"/>
      <c r="AN42" s="1078"/>
      <c r="AO42" s="1078"/>
      <c r="AP42" s="1078"/>
      <c r="AQ42" s="1078"/>
      <c r="AR42" s="1078"/>
      <c r="AS42" s="1078"/>
      <c r="AT42" s="1078"/>
      <c r="AU42" s="1078"/>
      <c r="AV42" s="1078"/>
      <c r="AW42" s="1078"/>
      <c r="AX42" s="1078"/>
      <c r="AY42" s="1078"/>
      <c r="AZ42" s="1078"/>
      <c r="BA42" s="1078"/>
      <c r="BB42" s="1078"/>
    </row>
    <row r="43" spans="1:54" s="1079" customFormat="1" ht="33">
      <c r="A43" s="1080">
        <f t="shared" si="2"/>
        <v>35</v>
      </c>
      <c r="B43" s="1087" t="s">
        <v>1442</v>
      </c>
      <c r="C43" s="1087" t="s">
        <v>1447</v>
      </c>
      <c r="D43" s="1082" t="s">
        <v>1448</v>
      </c>
      <c r="E43" s="1083" t="s">
        <v>1372</v>
      </c>
      <c r="F43" s="1084" t="s">
        <v>1373</v>
      </c>
      <c r="G43" s="1085">
        <f t="shared" si="0"/>
        <v>7000000</v>
      </c>
      <c r="H43" s="1074"/>
      <c r="I43" s="1086"/>
      <c r="J43" s="1086">
        <v>500000</v>
      </c>
      <c r="K43" s="1086"/>
      <c r="L43" s="1086">
        <v>2000000</v>
      </c>
      <c r="M43" s="1086">
        <v>1710000</v>
      </c>
      <c r="N43" s="1086">
        <v>500000</v>
      </c>
      <c r="O43" s="1086">
        <v>400000</v>
      </c>
      <c r="P43" s="1086">
        <v>500000</v>
      </c>
      <c r="Q43" s="1086">
        <v>500000</v>
      </c>
      <c r="R43" s="1086">
        <v>90000</v>
      </c>
      <c r="S43" s="1086"/>
      <c r="T43" s="1086"/>
      <c r="U43" s="1086"/>
      <c r="V43" s="1086"/>
      <c r="W43" s="1086"/>
      <c r="X43" s="1086"/>
      <c r="Y43" s="1086">
        <v>800000</v>
      </c>
      <c r="Z43" s="1086"/>
      <c r="AA43" s="1076"/>
      <c r="AB43" s="1077">
        <v>7000000</v>
      </c>
      <c r="AC43" s="1077">
        <f t="shared" si="1"/>
        <v>0</v>
      </c>
      <c r="AD43" s="1078"/>
      <c r="AE43" s="1078"/>
      <c r="AF43" s="1078"/>
      <c r="AG43" s="1078"/>
      <c r="AH43" s="1078"/>
      <c r="AI43" s="1078"/>
      <c r="AJ43" s="1078"/>
      <c r="AK43" s="1078"/>
      <c r="AL43" s="1078"/>
      <c r="AM43" s="1078"/>
      <c r="AN43" s="1078"/>
      <c r="AO43" s="1078"/>
      <c r="AP43" s="1078"/>
      <c r="AQ43" s="1078"/>
      <c r="AR43" s="1078"/>
      <c r="AS43" s="1078"/>
      <c r="AT43" s="1078"/>
      <c r="AU43" s="1078"/>
      <c r="AV43" s="1078"/>
      <c r="AW43" s="1078"/>
      <c r="AX43" s="1078"/>
      <c r="AY43" s="1078"/>
      <c r="AZ43" s="1078"/>
      <c r="BA43" s="1078"/>
      <c r="BB43" s="1078"/>
    </row>
    <row r="44" spans="1:54" s="1079" customFormat="1" ht="33">
      <c r="A44" s="1080">
        <f t="shared" si="2"/>
        <v>36</v>
      </c>
      <c r="B44" s="1087" t="s">
        <v>1449</v>
      </c>
      <c r="C44" s="1087" t="s">
        <v>1450</v>
      </c>
      <c r="D44" s="1082" t="s">
        <v>1451</v>
      </c>
      <c r="E44" s="1083" t="s">
        <v>1372</v>
      </c>
      <c r="F44" s="1084" t="s">
        <v>1373</v>
      </c>
      <c r="G44" s="1085">
        <f t="shared" si="0"/>
        <v>1000000</v>
      </c>
      <c r="H44" s="1074"/>
      <c r="I44" s="1086"/>
      <c r="J44" s="1086"/>
      <c r="K44" s="1086"/>
      <c r="L44" s="1086">
        <v>750000</v>
      </c>
      <c r="M44" s="1086">
        <v>250000</v>
      </c>
      <c r="N44" s="1086"/>
      <c r="O44" s="1086"/>
      <c r="P44" s="1086"/>
      <c r="Q44" s="1086"/>
      <c r="R44" s="1086"/>
      <c r="S44" s="1086"/>
      <c r="T44" s="1086"/>
      <c r="U44" s="1086"/>
      <c r="V44" s="1086"/>
      <c r="W44" s="1086"/>
      <c r="X44" s="1086"/>
      <c r="Y44" s="1086"/>
      <c r="Z44" s="1086"/>
      <c r="AA44" s="1076"/>
      <c r="AB44" s="1077">
        <v>1000000</v>
      </c>
      <c r="AC44" s="1077">
        <f t="shared" si="1"/>
        <v>0</v>
      </c>
      <c r="AD44" s="1078"/>
      <c r="AE44" s="1078"/>
      <c r="AF44" s="1078"/>
      <c r="AG44" s="1078"/>
      <c r="AH44" s="1078"/>
      <c r="AI44" s="1078"/>
      <c r="AJ44" s="1078"/>
      <c r="AK44" s="1078"/>
      <c r="AL44" s="1078"/>
      <c r="AM44" s="1078"/>
      <c r="AN44" s="1078"/>
      <c r="AO44" s="1078"/>
      <c r="AP44" s="1078"/>
      <c r="AQ44" s="1078"/>
      <c r="AR44" s="1078"/>
      <c r="AS44" s="1078"/>
      <c r="AT44" s="1078"/>
      <c r="AU44" s="1078"/>
      <c r="AV44" s="1078"/>
      <c r="AW44" s="1078"/>
      <c r="AX44" s="1078"/>
      <c r="AY44" s="1078"/>
      <c r="AZ44" s="1078"/>
      <c r="BA44" s="1078"/>
      <c r="BB44" s="1078"/>
    </row>
    <row r="45" spans="1:54" s="1079" customFormat="1" ht="33">
      <c r="A45" s="1080">
        <f t="shared" si="2"/>
        <v>37</v>
      </c>
      <c r="B45" s="1087" t="s">
        <v>1449</v>
      </c>
      <c r="C45" s="1087" t="s">
        <v>1452</v>
      </c>
      <c r="D45" s="1082" t="s">
        <v>1453</v>
      </c>
      <c r="E45" s="1083" t="s">
        <v>1372</v>
      </c>
      <c r="F45" s="1084" t="s">
        <v>1373</v>
      </c>
      <c r="G45" s="1085">
        <f t="shared" si="0"/>
        <v>1000000</v>
      </c>
      <c r="H45" s="1074"/>
      <c r="I45" s="1086"/>
      <c r="J45" s="1086"/>
      <c r="K45" s="1086"/>
      <c r="L45" s="1086"/>
      <c r="M45" s="1086">
        <v>1000000</v>
      </c>
      <c r="N45" s="1086"/>
      <c r="O45" s="1086"/>
      <c r="P45" s="1086"/>
      <c r="Q45" s="1086"/>
      <c r="R45" s="1086"/>
      <c r="S45" s="1086"/>
      <c r="T45" s="1086"/>
      <c r="U45" s="1086"/>
      <c r="V45" s="1086"/>
      <c r="W45" s="1086"/>
      <c r="X45" s="1086"/>
      <c r="Y45" s="1086"/>
      <c r="Z45" s="1086"/>
      <c r="AA45" s="1076"/>
      <c r="AB45" s="1077">
        <v>1000000</v>
      </c>
      <c r="AC45" s="1077">
        <f t="shared" si="1"/>
        <v>0</v>
      </c>
      <c r="AD45" s="1078"/>
      <c r="AE45" s="1078"/>
      <c r="AF45" s="1078"/>
      <c r="AG45" s="1078"/>
      <c r="AH45" s="1078"/>
      <c r="AI45" s="1078"/>
      <c r="AJ45" s="1078"/>
      <c r="AK45" s="1078"/>
      <c r="AL45" s="1078"/>
      <c r="AM45" s="1078"/>
      <c r="AN45" s="1078"/>
      <c r="AO45" s="1078"/>
      <c r="AP45" s="1078"/>
      <c r="AQ45" s="1078"/>
      <c r="AR45" s="1078"/>
      <c r="AS45" s="1078"/>
      <c r="AT45" s="1078"/>
      <c r="AU45" s="1078"/>
      <c r="AV45" s="1078"/>
      <c r="AW45" s="1078"/>
      <c r="AX45" s="1078"/>
      <c r="AY45" s="1078"/>
      <c r="AZ45" s="1078"/>
      <c r="BA45" s="1078"/>
      <c r="BB45" s="1078"/>
    </row>
    <row r="46" spans="1:54" s="1079" customFormat="1" ht="33">
      <c r="A46" s="1080">
        <f t="shared" si="2"/>
        <v>38</v>
      </c>
      <c r="B46" s="1087" t="s">
        <v>1449</v>
      </c>
      <c r="C46" s="1087" t="s">
        <v>1454</v>
      </c>
      <c r="D46" s="1082" t="s">
        <v>1455</v>
      </c>
      <c r="E46" s="1083" t="s">
        <v>1372</v>
      </c>
      <c r="F46" s="1084" t="s">
        <v>671</v>
      </c>
      <c r="G46" s="1085">
        <f t="shared" si="0"/>
        <v>1000000</v>
      </c>
      <c r="H46" s="1074"/>
      <c r="I46" s="1086"/>
      <c r="J46" s="1086"/>
      <c r="K46" s="1086"/>
      <c r="L46" s="1086"/>
      <c r="M46" s="1086"/>
      <c r="N46" s="1086"/>
      <c r="O46" s="1086"/>
      <c r="P46" s="1086"/>
      <c r="Q46" s="1086"/>
      <c r="R46" s="1086"/>
      <c r="S46" s="1086"/>
      <c r="T46" s="1086"/>
      <c r="U46" s="1086"/>
      <c r="V46" s="1086"/>
      <c r="W46" s="1086"/>
      <c r="X46" s="1086"/>
      <c r="Y46" s="1086"/>
      <c r="Z46" s="1086">
        <v>1000000</v>
      </c>
      <c r="AA46" s="1076"/>
      <c r="AB46" s="1077">
        <v>1000000</v>
      </c>
      <c r="AC46" s="1077">
        <f t="shared" si="1"/>
        <v>0</v>
      </c>
      <c r="AD46" s="1078"/>
      <c r="AE46" s="1078"/>
      <c r="AF46" s="1078"/>
      <c r="AG46" s="1078"/>
      <c r="AH46" s="1078"/>
      <c r="AI46" s="1078"/>
      <c r="AJ46" s="1078"/>
      <c r="AK46" s="1078"/>
      <c r="AL46" s="1078"/>
      <c r="AM46" s="1078"/>
      <c r="AN46" s="1078"/>
      <c r="AO46" s="1078"/>
      <c r="AP46" s="1078"/>
      <c r="AQ46" s="1078"/>
      <c r="AR46" s="1078"/>
      <c r="AS46" s="1078"/>
      <c r="AT46" s="1078"/>
      <c r="AU46" s="1078"/>
      <c r="AV46" s="1078"/>
      <c r="AW46" s="1078"/>
      <c r="AX46" s="1078"/>
      <c r="AY46" s="1078"/>
      <c r="AZ46" s="1078"/>
      <c r="BA46" s="1078"/>
      <c r="BB46" s="1078"/>
    </row>
    <row r="47" spans="1:54" s="1079" customFormat="1" ht="33">
      <c r="A47" s="1080">
        <f t="shared" si="2"/>
        <v>39</v>
      </c>
      <c r="B47" s="1087" t="s">
        <v>1449</v>
      </c>
      <c r="C47" s="1087" t="s">
        <v>1456</v>
      </c>
      <c r="D47" s="1082" t="s">
        <v>1457</v>
      </c>
      <c r="E47" s="1083" t="s">
        <v>1372</v>
      </c>
      <c r="F47" s="1084" t="s">
        <v>1373</v>
      </c>
      <c r="G47" s="1085">
        <f t="shared" si="0"/>
        <v>1000000</v>
      </c>
      <c r="H47" s="1074"/>
      <c r="I47" s="1086"/>
      <c r="J47" s="1086"/>
      <c r="K47" s="1086"/>
      <c r="L47" s="1086"/>
      <c r="M47" s="1086"/>
      <c r="N47" s="1086"/>
      <c r="O47" s="1086"/>
      <c r="P47" s="1086"/>
      <c r="Q47" s="1086"/>
      <c r="R47" s="1086"/>
      <c r="S47" s="1086"/>
      <c r="T47" s="1086"/>
      <c r="U47" s="1086"/>
      <c r="V47" s="1086">
        <v>350000</v>
      </c>
      <c r="W47" s="1086"/>
      <c r="X47" s="1086"/>
      <c r="Y47" s="1086"/>
      <c r="Z47" s="1086">
        <v>650000</v>
      </c>
      <c r="AA47" s="1076"/>
      <c r="AB47" s="1077">
        <v>1000000</v>
      </c>
      <c r="AC47" s="1077">
        <f t="shared" si="1"/>
        <v>0</v>
      </c>
      <c r="AD47" s="1078"/>
      <c r="AE47" s="1078"/>
      <c r="AF47" s="1078"/>
      <c r="AG47" s="1078"/>
      <c r="AH47" s="1078"/>
      <c r="AI47" s="1078"/>
      <c r="AJ47" s="1078"/>
      <c r="AK47" s="1078"/>
      <c r="AL47" s="1078"/>
      <c r="AM47" s="1078"/>
      <c r="AN47" s="1078"/>
      <c r="AO47" s="1078"/>
      <c r="AP47" s="1078"/>
      <c r="AQ47" s="1078"/>
      <c r="AR47" s="1078"/>
      <c r="AS47" s="1078"/>
      <c r="AT47" s="1078"/>
      <c r="AU47" s="1078"/>
      <c r="AV47" s="1078"/>
      <c r="AW47" s="1078"/>
      <c r="AX47" s="1078"/>
      <c r="AY47" s="1078"/>
      <c r="AZ47" s="1078"/>
      <c r="BA47" s="1078"/>
      <c r="BB47" s="1078"/>
    </row>
    <row r="48" spans="1:54" s="1079" customFormat="1" ht="33">
      <c r="A48" s="1080">
        <f t="shared" si="2"/>
        <v>40</v>
      </c>
      <c r="B48" s="1087" t="s">
        <v>1449</v>
      </c>
      <c r="C48" s="1087" t="s">
        <v>1458</v>
      </c>
      <c r="D48" s="1082" t="s">
        <v>1459</v>
      </c>
      <c r="E48" s="1083" t="s">
        <v>1372</v>
      </c>
      <c r="F48" s="1084" t="s">
        <v>1373</v>
      </c>
      <c r="G48" s="1085">
        <f t="shared" si="0"/>
        <v>1000000</v>
      </c>
      <c r="H48" s="1074"/>
      <c r="I48" s="1086"/>
      <c r="J48" s="1086"/>
      <c r="K48" s="1086"/>
      <c r="L48" s="1086"/>
      <c r="M48" s="1086">
        <v>690000</v>
      </c>
      <c r="N48" s="1086"/>
      <c r="O48" s="1086">
        <v>100000</v>
      </c>
      <c r="P48" s="1086"/>
      <c r="Q48" s="1086"/>
      <c r="R48" s="1086">
        <v>210000</v>
      </c>
      <c r="S48" s="1086"/>
      <c r="T48" s="1086"/>
      <c r="U48" s="1086"/>
      <c r="V48" s="1086"/>
      <c r="W48" s="1086"/>
      <c r="X48" s="1086"/>
      <c r="Y48" s="1086"/>
      <c r="Z48" s="1086"/>
      <c r="AA48" s="1076"/>
      <c r="AB48" s="1077">
        <v>1000000</v>
      </c>
      <c r="AC48" s="1077">
        <f t="shared" si="1"/>
        <v>0</v>
      </c>
      <c r="AD48" s="1078"/>
      <c r="AE48" s="1078"/>
      <c r="AF48" s="1078"/>
      <c r="AG48" s="1078"/>
      <c r="AH48" s="1078"/>
      <c r="AI48" s="1078"/>
      <c r="AJ48" s="1078"/>
      <c r="AK48" s="1078"/>
      <c r="AL48" s="1078"/>
      <c r="AM48" s="1078"/>
      <c r="AN48" s="1078"/>
      <c r="AO48" s="1078"/>
      <c r="AP48" s="1078"/>
      <c r="AQ48" s="1078"/>
      <c r="AR48" s="1078"/>
      <c r="AS48" s="1078"/>
      <c r="AT48" s="1078"/>
      <c r="AU48" s="1078"/>
      <c r="AV48" s="1078"/>
      <c r="AW48" s="1078"/>
      <c r="AX48" s="1078"/>
      <c r="AY48" s="1078"/>
      <c r="AZ48" s="1078"/>
      <c r="BA48" s="1078"/>
      <c r="BB48" s="1078"/>
    </row>
    <row r="49" spans="1:54" s="1079" customFormat="1" ht="33">
      <c r="A49" s="1080">
        <f t="shared" si="2"/>
        <v>41</v>
      </c>
      <c r="B49" s="1087" t="s">
        <v>1449</v>
      </c>
      <c r="C49" s="1087" t="s">
        <v>1460</v>
      </c>
      <c r="D49" s="1082" t="s">
        <v>1461</v>
      </c>
      <c r="E49" s="1083" t="s">
        <v>1372</v>
      </c>
      <c r="F49" s="1084" t="s">
        <v>1373</v>
      </c>
      <c r="G49" s="1085">
        <f t="shared" si="0"/>
        <v>1000000</v>
      </c>
      <c r="H49" s="1074"/>
      <c r="I49" s="1086"/>
      <c r="J49" s="1086"/>
      <c r="K49" s="1086"/>
      <c r="L49" s="1086">
        <v>460000</v>
      </c>
      <c r="M49" s="1086">
        <v>515000</v>
      </c>
      <c r="N49" s="1086">
        <v>25000</v>
      </c>
      <c r="O49" s="1086"/>
      <c r="P49" s="1086"/>
      <c r="Q49" s="1086"/>
      <c r="R49" s="1086"/>
      <c r="S49" s="1086"/>
      <c r="T49" s="1086"/>
      <c r="U49" s="1086"/>
      <c r="V49" s="1086"/>
      <c r="W49" s="1086"/>
      <c r="X49" s="1086"/>
      <c r="Y49" s="1086"/>
      <c r="Z49" s="1086"/>
      <c r="AA49" s="1076"/>
      <c r="AB49" s="1077">
        <v>1000000</v>
      </c>
      <c r="AC49" s="1077">
        <f t="shared" si="1"/>
        <v>0</v>
      </c>
      <c r="AD49" s="1078"/>
      <c r="AE49" s="1078"/>
      <c r="AF49" s="1078"/>
      <c r="AG49" s="1078"/>
      <c r="AH49" s="1078"/>
      <c r="AI49" s="1078"/>
      <c r="AJ49" s="1078"/>
      <c r="AK49" s="1078"/>
      <c r="AL49" s="1078"/>
      <c r="AM49" s="1078"/>
      <c r="AN49" s="1078"/>
      <c r="AO49" s="1078"/>
      <c r="AP49" s="1078"/>
      <c r="AQ49" s="1078"/>
      <c r="AR49" s="1078"/>
      <c r="AS49" s="1078"/>
      <c r="AT49" s="1078"/>
      <c r="AU49" s="1078"/>
      <c r="AV49" s="1078"/>
      <c r="AW49" s="1078"/>
      <c r="AX49" s="1078"/>
      <c r="AY49" s="1078"/>
      <c r="AZ49" s="1078"/>
      <c r="BA49" s="1078"/>
      <c r="BB49" s="1078"/>
    </row>
    <row r="50" spans="1:54" s="1079" customFormat="1" ht="33">
      <c r="A50" s="1080">
        <f t="shared" si="2"/>
        <v>42</v>
      </c>
      <c r="B50" s="1087" t="s">
        <v>1449</v>
      </c>
      <c r="C50" s="1087" t="s">
        <v>1462</v>
      </c>
      <c r="D50" s="1082" t="s">
        <v>1463</v>
      </c>
      <c r="E50" s="1088" t="s">
        <v>1430</v>
      </c>
      <c r="F50" s="1084" t="s">
        <v>1373</v>
      </c>
      <c r="G50" s="1085">
        <f t="shared" si="0"/>
        <v>1000000</v>
      </c>
      <c r="H50" s="1074"/>
      <c r="I50" s="1086"/>
      <c r="J50" s="1086"/>
      <c r="K50" s="1086"/>
      <c r="L50" s="1086">
        <v>60000</v>
      </c>
      <c r="M50" s="1086">
        <v>940000</v>
      </c>
      <c r="N50" s="1086"/>
      <c r="O50" s="1086"/>
      <c r="P50" s="1086"/>
      <c r="Q50" s="1086"/>
      <c r="R50" s="1086"/>
      <c r="S50" s="1086"/>
      <c r="T50" s="1086"/>
      <c r="U50" s="1086"/>
      <c r="V50" s="1086"/>
      <c r="W50" s="1086"/>
      <c r="X50" s="1086"/>
      <c r="Y50" s="1086"/>
      <c r="Z50" s="1086"/>
      <c r="AA50" s="1076"/>
      <c r="AB50" s="1077">
        <v>1000000</v>
      </c>
      <c r="AC50" s="1077">
        <f t="shared" si="1"/>
        <v>0</v>
      </c>
      <c r="AD50" s="1078"/>
      <c r="AE50" s="1078"/>
      <c r="AF50" s="1078"/>
      <c r="AG50" s="1078"/>
      <c r="AH50" s="1078"/>
      <c r="AI50" s="1078"/>
      <c r="AJ50" s="1078"/>
      <c r="AK50" s="1078"/>
      <c r="AL50" s="1078"/>
      <c r="AM50" s="1078"/>
      <c r="AN50" s="1078"/>
      <c r="AO50" s="1078"/>
      <c r="AP50" s="1078"/>
      <c r="AQ50" s="1078"/>
      <c r="AR50" s="1078"/>
      <c r="AS50" s="1078"/>
      <c r="AT50" s="1078"/>
      <c r="AU50" s="1078"/>
      <c r="AV50" s="1078"/>
      <c r="AW50" s="1078"/>
      <c r="AX50" s="1078"/>
      <c r="AY50" s="1078"/>
      <c r="AZ50" s="1078"/>
      <c r="BA50" s="1078"/>
      <c r="BB50" s="1078"/>
    </row>
    <row r="51" spans="1:54" s="1079" customFormat="1" ht="33">
      <c r="A51" s="1080">
        <f t="shared" si="2"/>
        <v>43</v>
      </c>
      <c r="B51" s="1087" t="s">
        <v>1449</v>
      </c>
      <c r="C51" s="1092" t="s">
        <v>1464</v>
      </c>
      <c r="D51" s="1082" t="s">
        <v>1465</v>
      </c>
      <c r="E51" s="1088" t="s">
        <v>1430</v>
      </c>
      <c r="F51" s="1084" t="s">
        <v>1373</v>
      </c>
      <c r="G51" s="1085">
        <f t="shared" si="0"/>
        <v>1000000</v>
      </c>
      <c r="H51" s="1074"/>
      <c r="I51" s="1086"/>
      <c r="J51" s="1086"/>
      <c r="K51" s="1086"/>
      <c r="L51" s="1086">
        <v>640000</v>
      </c>
      <c r="M51" s="1086">
        <v>360000</v>
      </c>
      <c r="N51" s="1086"/>
      <c r="O51" s="1086"/>
      <c r="P51" s="1086"/>
      <c r="Q51" s="1086"/>
      <c r="R51" s="1086"/>
      <c r="S51" s="1086"/>
      <c r="T51" s="1086"/>
      <c r="U51" s="1086"/>
      <c r="V51" s="1086"/>
      <c r="W51" s="1086"/>
      <c r="X51" s="1086"/>
      <c r="Y51" s="1086"/>
      <c r="Z51" s="1086"/>
      <c r="AA51" s="1076"/>
      <c r="AB51" s="1077">
        <v>1000000</v>
      </c>
      <c r="AC51" s="1077">
        <f t="shared" si="1"/>
        <v>0</v>
      </c>
      <c r="AD51" s="1078"/>
      <c r="AE51" s="1078"/>
      <c r="AF51" s="1078"/>
      <c r="AG51" s="1078"/>
      <c r="AH51" s="1078"/>
      <c r="AI51" s="1078"/>
      <c r="AJ51" s="1078"/>
      <c r="AK51" s="1078"/>
      <c r="AL51" s="1078"/>
      <c r="AM51" s="1078"/>
      <c r="AN51" s="1078"/>
      <c r="AO51" s="1078"/>
      <c r="AP51" s="1078"/>
      <c r="AQ51" s="1078"/>
      <c r="AR51" s="1078"/>
      <c r="AS51" s="1078"/>
      <c r="AT51" s="1078"/>
      <c r="AU51" s="1078"/>
      <c r="AV51" s="1078"/>
      <c r="AW51" s="1078"/>
      <c r="AX51" s="1078"/>
      <c r="AY51" s="1078"/>
      <c r="AZ51" s="1078"/>
      <c r="BA51" s="1078"/>
      <c r="BB51" s="1078"/>
    </row>
    <row r="52" spans="1:54" s="1079" customFormat="1" ht="33">
      <c r="A52" s="1080">
        <f t="shared" si="2"/>
        <v>44</v>
      </c>
      <c r="B52" s="1087" t="s">
        <v>1449</v>
      </c>
      <c r="C52" s="1087" t="s">
        <v>1466</v>
      </c>
      <c r="D52" s="1082" t="s">
        <v>1467</v>
      </c>
      <c r="E52" s="1088" t="s">
        <v>1430</v>
      </c>
      <c r="F52" s="1084" t="s">
        <v>1373</v>
      </c>
      <c r="G52" s="1085">
        <f t="shared" si="0"/>
        <v>1000000</v>
      </c>
      <c r="H52" s="1074"/>
      <c r="I52" s="1086"/>
      <c r="J52" s="1086"/>
      <c r="K52" s="1086"/>
      <c r="L52" s="1086">
        <v>830000</v>
      </c>
      <c r="M52" s="1086">
        <v>170000</v>
      </c>
      <c r="N52" s="1086"/>
      <c r="O52" s="1086"/>
      <c r="P52" s="1086"/>
      <c r="Q52" s="1086"/>
      <c r="R52" s="1086"/>
      <c r="S52" s="1086"/>
      <c r="T52" s="1086"/>
      <c r="U52" s="1086"/>
      <c r="V52" s="1086"/>
      <c r="W52" s="1086"/>
      <c r="X52" s="1086"/>
      <c r="Y52" s="1086"/>
      <c r="Z52" s="1086"/>
      <c r="AA52" s="1076"/>
      <c r="AB52" s="1077">
        <v>1000000</v>
      </c>
      <c r="AC52" s="1077">
        <f t="shared" si="1"/>
        <v>0</v>
      </c>
      <c r="AD52" s="1078"/>
      <c r="AE52" s="1078"/>
      <c r="AF52" s="1078"/>
      <c r="AG52" s="1078"/>
      <c r="AH52" s="1078"/>
      <c r="AI52" s="1078"/>
      <c r="AJ52" s="1078"/>
      <c r="AK52" s="1078"/>
      <c r="AL52" s="1078"/>
      <c r="AM52" s="1078"/>
      <c r="AN52" s="1078"/>
      <c r="AO52" s="1078"/>
      <c r="AP52" s="1078"/>
      <c r="AQ52" s="1078"/>
      <c r="AR52" s="1078"/>
      <c r="AS52" s="1078"/>
      <c r="AT52" s="1078"/>
      <c r="AU52" s="1078"/>
      <c r="AV52" s="1078"/>
      <c r="AW52" s="1078"/>
      <c r="AX52" s="1078"/>
      <c r="AY52" s="1078"/>
      <c r="AZ52" s="1078"/>
      <c r="BA52" s="1078"/>
      <c r="BB52" s="1078"/>
    </row>
    <row r="53" spans="1:54" s="1079" customFormat="1" ht="49.5">
      <c r="A53" s="1080">
        <f t="shared" si="2"/>
        <v>45</v>
      </c>
      <c r="B53" s="1087" t="s">
        <v>1449</v>
      </c>
      <c r="C53" s="1087" t="s">
        <v>1468</v>
      </c>
      <c r="D53" s="1082" t="s">
        <v>1469</v>
      </c>
      <c r="E53" s="1083" t="s">
        <v>1372</v>
      </c>
      <c r="F53" s="1084" t="s">
        <v>1373</v>
      </c>
      <c r="G53" s="1085">
        <f t="shared" si="0"/>
        <v>1000000</v>
      </c>
      <c r="H53" s="1074"/>
      <c r="I53" s="1086"/>
      <c r="J53" s="1086"/>
      <c r="K53" s="1086"/>
      <c r="L53" s="1086"/>
      <c r="M53" s="1086"/>
      <c r="N53" s="1086"/>
      <c r="O53" s="1086"/>
      <c r="P53" s="1086"/>
      <c r="Q53" s="1086"/>
      <c r="R53" s="1086"/>
      <c r="S53" s="1086"/>
      <c r="T53" s="1086"/>
      <c r="U53" s="1086"/>
      <c r="V53" s="1086">
        <v>1000000</v>
      </c>
      <c r="W53" s="1086"/>
      <c r="X53" s="1086"/>
      <c r="Y53" s="1086"/>
      <c r="Z53" s="1086"/>
      <c r="AA53" s="1076"/>
      <c r="AB53" s="1077">
        <v>1000000</v>
      </c>
      <c r="AC53" s="1077">
        <f t="shared" si="1"/>
        <v>0</v>
      </c>
      <c r="AD53" s="1078"/>
      <c r="AE53" s="1078"/>
      <c r="AF53" s="1078"/>
      <c r="AG53" s="1078"/>
      <c r="AH53" s="1078"/>
      <c r="AI53" s="1078"/>
      <c r="AJ53" s="1078"/>
      <c r="AK53" s="1078"/>
      <c r="AL53" s="1078"/>
      <c r="AM53" s="1078"/>
      <c r="AN53" s="1078"/>
      <c r="AO53" s="1078"/>
      <c r="AP53" s="1078"/>
      <c r="AQ53" s="1078"/>
      <c r="AR53" s="1078"/>
      <c r="AS53" s="1078"/>
      <c r="AT53" s="1078"/>
      <c r="AU53" s="1078"/>
      <c r="AV53" s="1078"/>
      <c r="AW53" s="1078"/>
      <c r="AX53" s="1078"/>
      <c r="AY53" s="1078"/>
      <c r="AZ53" s="1078"/>
      <c r="BA53" s="1078"/>
      <c r="BB53" s="1078"/>
    </row>
    <row r="54" spans="1:54" s="1079" customFormat="1" ht="33">
      <c r="A54" s="1080">
        <f t="shared" si="2"/>
        <v>46</v>
      </c>
      <c r="B54" s="1087" t="s">
        <v>1470</v>
      </c>
      <c r="C54" s="1087" t="s">
        <v>1471</v>
      </c>
      <c r="D54" s="1082" t="s">
        <v>1472</v>
      </c>
      <c r="E54" s="1083" t="s">
        <v>1372</v>
      </c>
      <c r="F54" s="1084" t="s">
        <v>1373</v>
      </c>
      <c r="G54" s="1085">
        <f t="shared" si="0"/>
        <v>3000000</v>
      </c>
      <c r="H54" s="1074"/>
      <c r="I54" s="1086"/>
      <c r="J54" s="1086"/>
      <c r="K54" s="1086"/>
      <c r="L54" s="1086">
        <v>550000</v>
      </c>
      <c r="M54" s="1086">
        <v>1650000</v>
      </c>
      <c r="N54" s="1086">
        <v>800000</v>
      </c>
      <c r="O54" s="1086"/>
      <c r="P54" s="1086"/>
      <c r="Q54" s="1086"/>
      <c r="R54" s="1086"/>
      <c r="S54" s="1086"/>
      <c r="T54" s="1086"/>
      <c r="U54" s="1086"/>
      <c r="V54" s="1086"/>
      <c r="W54" s="1086"/>
      <c r="X54" s="1086"/>
      <c r="Y54" s="1086"/>
      <c r="Z54" s="1086"/>
      <c r="AA54" s="1076"/>
      <c r="AB54" s="1077">
        <v>3000000</v>
      </c>
      <c r="AC54" s="1077">
        <f t="shared" si="1"/>
        <v>0</v>
      </c>
      <c r="AD54" s="1078"/>
      <c r="AE54" s="1078"/>
      <c r="AF54" s="1078"/>
      <c r="AG54" s="1078"/>
      <c r="AH54" s="1078"/>
      <c r="AI54" s="1078"/>
      <c r="AJ54" s="1078"/>
      <c r="AK54" s="1078"/>
      <c r="AL54" s="1078"/>
      <c r="AM54" s="1078"/>
      <c r="AN54" s="1078"/>
      <c r="AO54" s="1078"/>
      <c r="AP54" s="1078"/>
      <c r="AQ54" s="1078"/>
      <c r="AR54" s="1078"/>
      <c r="AS54" s="1078"/>
      <c r="AT54" s="1078"/>
      <c r="AU54" s="1078"/>
      <c r="AV54" s="1078"/>
      <c r="AW54" s="1078"/>
      <c r="AX54" s="1078"/>
      <c r="AY54" s="1078"/>
      <c r="AZ54" s="1078"/>
      <c r="BA54" s="1078"/>
      <c r="BB54" s="1078"/>
    </row>
    <row r="55" spans="1:54" s="1079" customFormat="1" ht="33">
      <c r="A55" s="1080">
        <f t="shared" si="2"/>
        <v>47</v>
      </c>
      <c r="B55" s="1087" t="s">
        <v>1470</v>
      </c>
      <c r="C55" s="1087" t="s">
        <v>1473</v>
      </c>
      <c r="D55" s="1082" t="s">
        <v>1474</v>
      </c>
      <c r="E55" s="1083" t="s">
        <v>1372</v>
      </c>
      <c r="F55" s="1084" t="s">
        <v>1373</v>
      </c>
      <c r="G55" s="1085">
        <f t="shared" si="0"/>
        <v>3000000</v>
      </c>
      <c r="H55" s="1074"/>
      <c r="I55" s="1086"/>
      <c r="J55" s="1086"/>
      <c r="K55" s="1086"/>
      <c r="L55" s="1086">
        <v>300000</v>
      </c>
      <c r="M55" s="1086">
        <v>2200000</v>
      </c>
      <c r="N55" s="1086">
        <v>500000</v>
      </c>
      <c r="O55" s="1086"/>
      <c r="P55" s="1086"/>
      <c r="Q55" s="1086"/>
      <c r="R55" s="1086"/>
      <c r="S55" s="1086"/>
      <c r="T55" s="1086"/>
      <c r="U55" s="1086"/>
      <c r="V55" s="1086"/>
      <c r="W55" s="1086"/>
      <c r="X55" s="1086"/>
      <c r="Y55" s="1086"/>
      <c r="Z55" s="1086"/>
      <c r="AA55" s="1076"/>
      <c r="AB55" s="1077">
        <v>3000000</v>
      </c>
      <c r="AC55" s="1077">
        <f t="shared" si="1"/>
        <v>0</v>
      </c>
      <c r="AD55" s="1078"/>
      <c r="AE55" s="1078"/>
      <c r="AF55" s="1078"/>
      <c r="AG55" s="1078"/>
      <c r="AH55" s="1078"/>
      <c r="AI55" s="1078"/>
      <c r="AJ55" s="1078"/>
      <c r="AK55" s="1078"/>
      <c r="AL55" s="1078"/>
      <c r="AM55" s="1078"/>
      <c r="AN55" s="1078"/>
      <c r="AO55" s="1078"/>
      <c r="AP55" s="1078"/>
      <c r="AQ55" s="1078"/>
      <c r="AR55" s="1078"/>
      <c r="AS55" s="1078"/>
      <c r="AT55" s="1078"/>
      <c r="AU55" s="1078"/>
      <c r="AV55" s="1078"/>
      <c r="AW55" s="1078"/>
      <c r="AX55" s="1078"/>
      <c r="AY55" s="1078"/>
      <c r="AZ55" s="1078"/>
      <c r="BA55" s="1078"/>
      <c r="BB55" s="1078"/>
    </row>
    <row r="56" spans="1:54" s="1079" customFormat="1" ht="33">
      <c r="A56" s="1080">
        <f t="shared" si="2"/>
        <v>48</v>
      </c>
      <c r="B56" s="1087" t="s">
        <v>1470</v>
      </c>
      <c r="C56" s="1087" t="s">
        <v>1475</v>
      </c>
      <c r="D56" s="1082" t="s">
        <v>1476</v>
      </c>
      <c r="E56" s="1083" t="s">
        <v>1372</v>
      </c>
      <c r="F56" s="1084" t="s">
        <v>1373</v>
      </c>
      <c r="G56" s="1085">
        <f t="shared" si="0"/>
        <v>2000000</v>
      </c>
      <c r="H56" s="1074"/>
      <c r="I56" s="1086"/>
      <c r="J56" s="1086"/>
      <c r="K56" s="1086"/>
      <c r="L56" s="1086"/>
      <c r="M56" s="1086">
        <v>2000000</v>
      </c>
      <c r="N56" s="1086"/>
      <c r="O56" s="1086"/>
      <c r="P56" s="1086"/>
      <c r="Q56" s="1086"/>
      <c r="R56" s="1086"/>
      <c r="S56" s="1086"/>
      <c r="T56" s="1086"/>
      <c r="U56" s="1086"/>
      <c r="V56" s="1086"/>
      <c r="W56" s="1086"/>
      <c r="X56" s="1086"/>
      <c r="Y56" s="1086"/>
      <c r="Z56" s="1086"/>
      <c r="AA56" s="1076"/>
      <c r="AB56" s="1077">
        <v>2000000</v>
      </c>
      <c r="AC56" s="1077">
        <f t="shared" si="1"/>
        <v>0</v>
      </c>
      <c r="AD56" s="1078"/>
      <c r="AE56" s="1078"/>
      <c r="AF56" s="1078"/>
      <c r="AG56" s="1078"/>
      <c r="AH56" s="1078"/>
      <c r="AI56" s="1078"/>
      <c r="AJ56" s="1078"/>
      <c r="AK56" s="1078"/>
      <c r="AL56" s="1078"/>
      <c r="AM56" s="1078"/>
      <c r="AN56" s="1078"/>
      <c r="AO56" s="1078"/>
      <c r="AP56" s="1078"/>
      <c r="AQ56" s="1078"/>
      <c r="AR56" s="1078"/>
      <c r="AS56" s="1078"/>
      <c r="AT56" s="1078"/>
      <c r="AU56" s="1078"/>
      <c r="AV56" s="1078"/>
      <c r="AW56" s="1078"/>
      <c r="AX56" s="1078"/>
      <c r="AY56" s="1078"/>
      <c r="AZ56" s="1078"/>
      <c r="BA56" s="1078"/>
      <c r="BB56" s="1078"/>
    </row>
    <row r="57" spans="1:54" s="1079" customFormat="1" ht="33">
      <c r="A57" s="1080">
        <f t="shared" si="2"/>
        <v>49</v>
      </c>
      <c r="B57" s="1087" t="s">
        <v>1470</v>
      </c>
      <c r="C57" s="1087" t="s">
        <v>1473</v>
      </c>
      <c r="D57" s="1082" t="s">
        <v>1477</v>
      </c>
      <c r="E57" s="1083" t="s">
        <v>1372</v>
      </c>
      <c r="F57" s="1084" t="s">
        <v>1373</v>
      </c>
      <c r="G57" s="1085">
        <f t="shared" si="0"/>
        <v>600000</v>
      </c>
      <c r="H57" s="1074"/>
      <c r="I57" s="1086"/>
      <c r="J57" s="1086">
        <v>558000</v>
      </c>
      <c r="K57" s="1086"/>
      <c r="L57" s="1086"/>
      <c r="M57" s="1086"/>
      <c r="N57" s="1086"/>
      <c r="O57" s="1086"/>
      <c r="P57" s="1086"/>
      <c r="Q57" s="1086"/>
      <c r="R57" s="1086"/>
      <c r="S57" s="1086">
        <v>22000</v>
      </c>
      <c r="T57" s="1086">
        <v>20000</v>
      </c>
      <c r="U57" s="1086"/>
      <c r="V57" s="1086"/>
      <c r="W57" s="1086"/>
      <c r="X57" s="1086"/>
      <c r="Y57" s="1086"/>
      <c r="Z57" s="1086"/>
      <c r="AA57" s="1076"/>
      <c r="AB57" s="1077">
        <v>600000</v>
      </c>
      <c r="AC57" s="1077">
        <f t="shared" si="1"/>
        <v>0</v>
      </c>
      <c r="AD57" s="1078"/>
      <c r="AE57" s="1078"/>
      <c r="AF57" s="1078"/>
      <c r="AG57" s="1078"/>
      <c r="AH57" s="1078"/>
      <c r="AI57" s="1078"/>
      <c r="AJ57" s="1078"/>
      <c r="AK57" s="1078"/>
      <c r="AL57" s="1078"/>
      <c r="AM57" s="1078"/>
      <c r="AN57" s="1078"/>
      <c r="AO57" s="1078"/>
      <c r="AP57" s="1078"/>
      <c r="AQ57" s="1078"/>
      <c r="AR57" s="1078"/>
      <c r="AS57" s="1078"/>
      <c r="AT57" s="1078"/>
      <c r="AU57" s="1078"/>
      <c r="AV57" s="1078"/>
      <c r="AW57" s="1078"/>
      <c r="AX57" s="1078"/>
      <c r="AY57" s="1078"/>
      <c r="AZ57" s="1078"/>
      <c r="BA57" s="1078"/>
      <c r="BB57" s="1078"/>
    </row>
    <row r="58" spans="1:54" s="1079" customFormat="1" ht="33">
      <c r="A58" s="1080">
        <f t="shared" si="2"/>
        <v>50</v>
      </c>
      <c r="B58" s="1087" t="s">
        <v>1470</v>
      </c>
      <c r="C58" s="1087" t="s">
        <v>1471</v>
      </c>
      <c r="D58" s="1082" t="s">
        <v>1478</v>
      </c>
      <c r="E58" s="1083" t="s">
        <v>1372</v>
      </c>
      <c r="F58" s="1084" t="s">
        <v>1373</v>
      </c>
      <c r="G58" s="1085">
        <f t="shared" si="0"/>
        <v>400000</v>
      </c>
      <c r="H58" s="1074"/>
      <c r="I58" s="1086"/>
      <c r="J58" s="1086"/>
      <c r="K58" s="1086"/>
      <c r="L58" s="1086">
        <v>112000</v>
      </c>
      <c r="M58" s="1086">
        <v>200000</v>
      </c>
      <c r="N58" s="1086">
        <v>88000</v>
      </c>
      <c r="O58" s="1086"/>
      <c r="P58" s="1086"/>
      <c r="Q58" s="1086"/>
      <c r="R58" s="1086"/>
      <c r="S58" s="1086"/>
      <c r="T58" s="1086"/>
      <c r="U58" s="1086"/>
      <c r="V58" s="1086"/>
      <c r="W58" s="1086"/>
      <c r="X58" s="1086"/>
      <c r="Y58" s="1086"/>
      <c r="Z58" s="1086"/>
      <c r="AA58" s="1076"/>
      <c r="AB58" s="1077">
        <v>400000</v>
      </c>
      <c r="AC58" s="1077">
        <f t="shared" si="1"/>
        <v>0</v>
      </c>
      <c r="AD58" s="1078"/>
      <c r="AE58" s="1078"/>
      <c r="AF58" s="1078"/>
      <c r="AG58" s="1078"/>
      <c r="AH58" s="1078"/>
      <c r="AI58" s="1078"/>
      <c r="AJ58" s="1078"/>
      <c r="AK58" s="1078"/>
      <c r="AL58" s="1078"/>
      <c r="AM58" s="1078"/>
      <c r="AN58" s="1078"/>
      <c r="AO58" s="1078"/>
      <c r="AP58" s="1078"/>
      <c r="AQ58" s="1078"/>
      <c r="AR58" s="1078"/>
      <c r="AS58" s="1078"/>
      <c r="AT58" s="1078"/>
      <c r="AU58" s="1078"/>
      <c r="AV58" s="1078"/>
      <c r="AW58" s="1078"/>
      <c r="AX58" s="1078"/>
      <c r="AY58" s="1078"/>
      <c r="AZ58" s="1078"/>
      <c r="BA58" s="1078"/>
      <c r="BB58" s="1078"/>
    </row>
    <row r="59" spans="1:54" s="1079" customFormat="1" ht="33">
      <c r="A59" s="1080">
        <f t="shared" si="2"/>
        <v>51</v>
      </c>
      <c r="B59" s="1087" t="s">
        <v>1470</v>
      </c>
      <c r="C59" s="1087" t="s">
        <v>1475</v>
      </c>
      <c r="D59" s="1082" t="s">
        <v>1479</v>
      </c>
      <c r="E59" s="1083" t="s">
        <v>1372</v>
      </c>
      <c r="F59" s="1084" t="s">
        <v>1373</v>
      </c>
      <c r="G59" s="1085">
        <f t="shared" si="0"/>
        <v>1000000</v>
      </c>
      <c r="H59" s="1074"/>
      <c r="I59" s="1086"/>
      <c r="J59" s="1086"/>
      <c r="K59" s="1086"/>
      <c r="L59" s="1086">
        <v>1000000</v>
      </c>
      <c r="M59" s="1086"/>
      <c r="N59" s="1086"/>
      <c r="O59" s="1086"/>
      <c r="P59" s="1086"/>
      <c r="Q59" s="1086"/>
      <c r="R59" s="1086"/>
      <c r="S59" s="1086"/>
      <c r="T59" s="1086"/>
      <c r="U59" s="1086"/>
      <c r="V59" s="1086"/>
      <c r="W59" s="1086"/>
      <c r="X59" s="1086"/>
      <c r="Y59" s="1086"/>
      <c r="Z59" s="1086"/>
      <c r="AA59" s="1076"/>
      <c r="AB59" s="1077">
        <v>1000000</v>
      </c>
      <c r="AC59" s="1077">
        <f t="shared" si="1"/>
        <v>0</v>
      </c>
      <c r="AD59" s="1078"/>
      <c r="AE59" s="1078"/>
      <c r="AF59" s="1078"/>
      <c r="AG59" s="1078"/>
      <c r="AH59" s="1078"/>
      <c r="AI59" s="1078"/>
      <c r="AJ59" s="1078"/>
      <c r="AK59" s="1078"/>
      <c r="AL59" s="1078"/>
      <c r="AM59" s="1078"/>
      <c r="AN59" s="1078"/>
      <c r="AO59" s="1078"/>
      <c r="AP59" s="1078"/>
      <c r="AQ59" s="1078"/>
      <c r="AR59" s="1078"/>
      <c r="AS59" s="1078"/>
      <c r="AT59" s="1078"/>
      <c r="AU59" s="1078"/>
      <c r="AV59" s="1078"/>
      <c r="AW59" s="1078"/>
      <c r="AX59" s="1078"/>
      <c r="AY59" s="1078"/>
      <c r="AZ59" s="1078"/>
      <c r="BA59" s="1078"/>
      <c r="BB59" s="1078"/>
    </row>
    <row r="60" spans="1:54" s="892" customFormat="1" ht="33">
      <c r="A60" s="1080">
        <f t="shared" si="2"/>
        <v>52</v>
      </c>
      <c r="B60" s="1093" t="s">
        <v>1480</v>
      </c>
      <c r="C60" s="1093" t="s">
        <v>1481</v>
      </c>
      <c r="D60" s="1082" t="s">
        <v>1482</v>
      </c>
      <c r="E60" s="1083" t="s">
        <v>1372</v>
      </c>
      <c r="F60" s="1084" t="s">
        <v>1373</v>
      </c>
      <c r="G60" s="1085">
        <f t="shared" si="0"/>
        <v>2333000</v>
      </c>
      <c r="H60" s="1074"/>
      <c r="I60" s="1094"/>
      <c r="J60" s="1094"/>
      <c r="K60" s="1094"/>
      <c r="L60" s="1094">
        <v>2333000</v>
      </c>
      <c r="M60" s="1094"/>
      <c r="N60" s="1094"/>
      <c r="O60" s="1094"/>
      <c r="P60" s="1094"/>
      <c r="Q60" s="1094"/>
      <c r="R60" s="1095"/>
      <c r="S60" s="1095"/>
      <c r="T60" s="1095"/>
      <c r="U60" s="1095"/>
      <c r="V60" s="1095"/>
      <c r="W60" s="1095"/>
      <c r="X60" s="1095"/>
      <c r="Y60" s="1094"/>
      <c r="Z60" s="1094"/>
      <c r="AA60" s="1089"/>
      <c r="AB60" s="1090">
        <v>2333000</v>
      </c>
      <c r="AC60" s="1077">
        <f t="shared" si="1"/>
        <v>0</v>
      </c>
      <c r="AD60" s="894"/>
      <c r="AE60" s="894"/>
      <c r="AF60" s="894"/>
      <c r="AG60" s="894"/>
      <c r="AH60" s="894"/>
      <c r="AI60" s="894"/>
      <c r="AJ60" s="894"/>
      <c r="AK60" s="894"/>
      <c r="AL60" s="894"/>
      <c r="AM60" s="894"/>
      <c r="AN60" s="894"/>
      <c r="AO60" s="894"/>
      <c r="AP60" s="894"/>
      <c r="AQ60" s="894"/>
      <c r="AR60" s="894"/>
      <c r="AS60" s="894"/>
      <c r="AT60" s="894"/>
      <c r="AU60" s="894"/>
      <c r="AV60" s="894"/>
      <c r="AW60" s="894"/>
      <c r="AX60" s="894"/>
      <c r="AY60" s="894"/>
      <c r="AZ60" s="894"/>
      <c r="BA60" s="894"/>
      <c r="BB60" s="894"/>
    </row>
    <row r="61" spans="1:54" s="892" customFormat="1" ht="33">
      <c r="A61" s="1080">
        <f t="shared" si="2"/>
        <v>53</v>
      </c>
      <c r="B61" s="1093" t="s">
        <v>1480</v>
      </c>
      <c r="C61" s="1093" t="s">
        <v>1483</v>
      </c>
      <c r="D61" s="1082" t="s">
        <v>1484</v>
      </c>
      <c r="E61" s="1083" t="s">
        <v>1372</v>
      </c>
      <c r="F61" s="1084" t="s">
        <v>1373</v>
      </c>
      <c r="G61" s="1085">
        <f t="shared" si="0"/>
        <v>2334000</v>
      </c>
      <c r="H61" s="1074"/>
      <c r="I61" s="1094"/>
      <c r="J61" s="1094"/>
      <c r="K61" s="1094"/>
      <c r="L61" s="1094"/>
      <c r="M61" s="1094">
        <v>2334000</v>
      </c>
      <c r="N61" s="1094"/>
      <c r="O61" s="1094"/>
      <c r="P61" s="1094"/>
      <c r="Q61" s="1094"/>
      <c r="R61" s="1095"/>
      <c r="S61" s="1095"/>
      <c r="T61" s="1095"/>
      <c r="U61" s="1095"/>
      <c r="V61" s="1095"/>
      <c r="W61" s="1095"/>
      <c r="X61" s="1095"/>
      <c r="Y61" s="1094"/>
      <c r="Z61" s="1094"/>
      <c r="AA61" s="1089"/>
      <c r="AB61" s="1090">
        <v>2334000</v>
      </c>
      <c r="AC61" s="1077">
        <f t="shared" si="1"/>
        <v>0</v>
      </c>
      <c r="AD61" s="894"/>
      <c r="AE61" s="894"/>
      <c r="AF61" s="894"/>
      <c r="AG61" s="894"/>
      <c r="AH61" s="894"/>
      <c r="AI61" s="894"/>
      <c r="AJ61" s="894"/>
      <c r="AK61" s="894"/>
      <c r="AL61" s="894"/>
      <c r="AM61" s="894"/>
      <c r="AN61" s="894"/>
      <c r="AO61" s="894"/>
      <c r="AP61" s="894"/>
      <c r="AQ61" s="894"/>
      <c r="AR61" s="894"/>
      <c r="AS61" s="894"/>
      <c r="AT61" s="894"/>
      <c r="AU61" s="894"/>
      <c r="AV61" s="894"/>
      <c r="AW61" s="894"/>
      <c r="AX61" s="894"/>
      <c r="AY61" s="894"/>
      <c r="AZ61" s="894"/>
      <c r="BA61" s="894"/>
      <c r="BB61" s="894"/>
    </row>
    <row r="62" spans="1:54" s="892" customFormat="1" ht="33">
      <c r="A62" s="1080">
        <f t="shared" si="2"/>
        <v>54</v>
      </c>
      <c r="B62" s="1093" t="s">
        <v>1480</v>
      </c>
      <c r="C62" s="1093" t="s">
        <v>1485</v>
      </c>
      <c r="D62" s="1082" t="s">
        <v>1486</v>
      </c>
      <c r="E62" s="1083" t="s">
        <v>1372</v>
      </c>
      <c r="F62" s="1084" t="s">
        <v>671</v>
      </c>
      <c r="G62" s="1085">
        <f t="shared" si="0"/>
        <v>3000000</v>
      </c>
      <c r="H62" s="1074"/>
      <c r="I62" s="1094"/>
      <c r="J62" s="1094"/>
      <c r="K62" s="1094"/>
      <c r="L62" s="1094"/>
      <c r="M62" s="1094"/>
      <c r="N62" s="1094"/>
      <c r="O62" s="1094"/>
      <c r="P62" s="1094"/>
      <c r="Q62" s="1094"/>
      <c r="R62" s="1095"/>
      <c r="S62" s="1095"/>
      <c r="T62" s="1095"/>
      <c r="U62" s="1095"/>
      <c r="V62" s="1095"/>
      <c r="W62" s="1095"/>
      <c r="X62" s="1095"/>
      <c r="Y62" s="1094">
        <v>3000000</v>
      </c>
      <c r="Z62" s="1094"/>
      <c r="AA62" s="1089"/>
      <c r="AB62" s="1090">
        <v>3000000</v>
      </c>
      <c r="AC62" s="1077">
        <f t="shared" si="1"/>
        <v>0</v>
      </c>
      <c r="AD62" s="894"/>
      <c r="AE62" s="894"/>
      <c r="AF62" s="894"/>
      <c r="AG62" s="894"/>
      <c r="AH62" s="894"/>
      <c r="AI62" s="894"/>
      <c r="AJ62" s="894"/>
      <c r="AK62" s="894"/>
      <c r="AL62" s="894"/>
      <c r="AM62" s="894"/>
      <c r="AN62" s="894"/>
      <c r="AO62" s="894"/>
      <c r="AP62" s="894"/>
      <c r="AQ62" s="894"/>
      <c r="AR62" s="894"/>
      <c r="AS62" s="894"/>
      <c r="AT62" s="894"/>
      <c r="AU62" s="894"/>
      <c r="AV62" s="894"/>
      <c r="AW62" s="894"/>
      <c r="AX62" s="894"/>
      <c r="AY62" s="894"/>
      <c r="AZ62" s="894"/>
      <c r="BA62" s="894"/>
      <c r="BB62" s="894"/>
    </row>
    <row r="63" spans="1:54" s="892" customFormat="1" ht="33">
      <c r="A63" s="1080">
        <f t="shared" si="2"/>
        <v>55</v>
      </c>
      <c r="B63" s="1093" t="s">
        <v>1480</v>
      </c>
      <c r="C63" s="1093" t="s">
        <v>1487</v>
      </c>
      <c r="D63" s="1082" t="s">
        <v>1488</v>
      </c>
      <c r="E63" s="1083" t="s">
        <v>1372</v>
      </c>
      <c r="F63" s="1084" t="s">
        <v>1373</v>
      </c>
      <c r="G63" s="1085">
        <f t="shared" si="0"/>
        <v>2333000</v>
      </c>
      <c r="H63" s="1074"/>
      <c r="I63" s="1094"/>
      <c r="J63" s="1094"/>
      <c r="K63" s="1094"/>
      <c r="L63" s="1094"/>
      <c r="M63" s="1094">
        <v>2333000</v>
      </c>
      <c r="N63" s="1094"/>
      <c r="O63" s="1094"/>
      <c r="P63" s="1094"/>
      <c r="Q63" s="1094"/>
      <c r="R63" s="1095"/>
      <c r="S63" s="1095"/>
      <c r="T63" s="1095"/>
      <c r="U63" s="1095"/>
      <c r="V63" s="1095"/>
      <c r="W63" s="1095"/>
      <c r="X63" s="1095"/>
      <c r="Y63" s="1094"/>
      <c r="Z63" s="1094"/>
      <c r="AA63" s="1089"/>
      <c r="AB63" s="1090">
        <v>2333000</v>
      </c>
      <c r="AC63" s="1077">
        <f t="shared" si="1"/>
        <v>0</v>
      </c>
      <c r="AD63" s="894"/>
      <c r="AE63" s="894"/>
      <c r="AF63" s="894"/>
      <c r="AG63" s="894"/>
      <c r="AH63" s="894"/>
      <c r="AI63" s="894"/>
      <c r="AJ63" s="894"/>
      <c r="AK63" s="894"/>
      <c r="AL63" s="894"/>
      <c r="AM63" s="894"/>
      <c r="AN63" s="894"/>
      <c r="AO63" s="894"/>
      <c r="AP63" s="894"/>
      <c r="AQ63" s="894"/>
      <c r="AR63" s="894"/>
      <c r="AS63" s="894"/>
      <c r="AT63" s="894"/>
      <c r="AU63" s="894"/>
      <c r="AV63" s="894"/>
      <c r="AW63" s="894"/>
      <c r="AX63" s="894"/>
      <c r="AY63" s="894"/>
      <c r="AZ63" s="894"/>
      <c r="BA63" s="894"/>
      <c r="BB63" s="894"/>
    </row>
    <row r="64" spans="1:54" s="892" customFormat="1" ht="33">
      <c r="A64" s="1080">
        <f t="shared" si="2"/>
        <v>56</v>
      </c>
      <c r="B64" s="1093" t="s">
        <v>1489</v>
      </c>
      <c r="C64" s="1093" t="s">
        <v>1490</v>
      </c>
      <c r="D64" s="1082" t="s">
        <v>1491</v>
      </c>
      <c r="E64" s="1083" t="s">
        <v>1372</v>
      </c>
      <c r="F64" s="1084" t="s">
        <v>1373</v>
      </c>
      <c r="G64" s="1085">
        <f t="shared" si="0"/>
        <v>2400000</v>
      </c>
      <c r="H64" s="1074"/>
      <c r="I64" s="1094"/>
      <c r="J64" s="1094"/>
      <c r="K64" s="1094"/>
      <c r="L64" s="1094">
        <v>2400000</v>
      </c>
      <c r="M64" s="1094"/>
      <c r="N64" s="1094"/>
      <c r="O64" s="1094"/>
      <c r="P64" s="1094"/>
      <c r="Q64" s="1094"/>
      <c r="R64" s="1095"/>
      <c r="S64" s="1095"/>
      <c r="T64" s="1095"/>
      <c r="U64" s="1095"/>
      <c r="V64" s="1095"/>
      <c r="W64" s="1095"/>
      <c r="X64" s="1095"/>
      <c r="Y64" s="1094"/>
      <c r="Z64" s="1094"/>
      <c r="AA64" s="1089"/>
      <c r="AB64" s="1090">
        <v>2400000</v>
      </c>
      <c r="AC64" s="1077">
        <f t="shared" si="1"/>
        <v>0</v>
      </c>
      <c r="AD64" s="894"/>
      <c r="AE64" s="894"/>
      <c r="AF64" s="894"/>
      <c r="AG64" s="894"/>
      <c r="AH64" s="894"/>
      <c r="AI64" s="894"/>
      <c r="AJ64" s="894"/>
      <c r="AK64" s="894"/>
      <c r="AL64" s="894"/>
      <c r="AM64" s="894"/>
      <c r="AN64" s="894"/>
      <c r="AO64" s="894"/>
      <c r="AP64" s="894"/>
      <c r="AQ64" s="894"/>
      <c r="AR64" s="894"/>
      <c r="AS64" s="894"/>
      <c r="AT64" s="894"/>
      <c r="AU64" s="894"/>
      <c r="AV64" s="894"/>
      <c r="AW64" s="894"/>
      <c r="AX64" s="894"/>
      <c r="AY64" s="894"/>
      <c r="AZ64" s="894"/>
      <c r="BA64" s="894"/>
      <c r="BB64" s="894"/>
    </row>
    <row r="65" spans="1:54" s="892" customFormat="1" ht="33">
      <c r="A65" s="1080">
        <f t="shared" si="2"/>
        <v>57</v>
      </c>
      <c r="B65" s="1093" t="s">
        <v>1489</v>
      </c>
      <c r="C65" s="1093" t="s">
        <v>1492</v>
      </c>
      <c r="D65" s="1082" t="s">
        <v>1493</v>
      </c>
      <c r="E65" s="1083" t="s">
        <v>1372</v>
      </c>
      <c r="F65" s="1084" t="s">
        <v>1373</v>
      </c>
      <c r="G65" s="1085">
        <f t="shared" si="0"/>
        <v>2300000</v>
      </c>
      <c r="H65" s="1074"/>
      <c r="I65" s="1094"/>
      <c r="J65" s="1094"/>
      <c r="K65" s="1094"/>
      <c r="L65" s="1094">
        <v>1000000</v>
      </c>
      <c r="M65" s="1094">
        <v>1300000</v>
      </c>
      <c r="N65" s="1094"/>
      <c r="O65" s="1094"/>
      <c r="P65" s="1094"/>
      <c r="Q65" s="1094"/>
      <c r="R65" s="1095"/>
      <c r="S65" s="1095"/>
      <c r="T65" s="1095"/>
      <c r="U65" s="1095"/>
      <c r="V65" s="1095"/>
      <c r="W65" s="1095"/>
      <c r="X65" s="1095"/>
      <c r="Y65" s="1094"/>
      <c r="Z65" s="1094"/>
      <c r="AA65" s="1089"/>
      <c r="AB65" s="1090">
        <v>2300000</v>
      </c>
      <c r="AC65" s="1077">
        <f t="shared" si="1"/>
        <v>0</v>
      </c>
      <c r="AD65" s="894"/>
      <c r="AE65" s="894"/>
      <c r="AF65" s="894"/>
      <c r="AG65" s="894"/>
      <c r="AH65" s="894"/>
      <c r="AI65" s="894"/>
      <c r="AJ65" s="894"/>
      <c r="AK65" s="894"/>
      <c r="AL65" s="894"/>
      <c r="AM65" s="894"/>
      <c r="AN65" s="894"/>
      <c r="AO65" s="894"/>
      <c r="AP65" s="894"/>
      <c r="AQ65" s="894"/>
      <c r="AR65" s="894"/>
      <c r="AS65" s="894"/>
      <c r="AT65" s="894"/>
      <c r="AU65" s="894"/>
      <c r="AV65" s="894"/>
      <c r="AW65" s="894"/>
      <c r="AX65" s="894"/>
      <c r="AY65" s="894"/>
      <c r="AZ65" s="894"/>
      <c r="BA65" s="894"/>
      <c r="BB65" s="894"/>
    </row>
    <row r="66" spans="1:54" s="892" customFormat="1" ht="33">
      <c r="A66" s="1080">
        <f t="shared" si="2"/>
        <v>58</v>
      </c>
      <c r="B66" s="1093" t="s">
        <v>1489</v>
      </c>
      <c r="C66" s="1093" t="s">
        <v>1494</v>
      </c>
      <c r="D66" s="1082" t="s">
        <v>1495</v>
      </c>
      <c r="E66" s="1083" t="s">
        <v>1372</v>
      </c>
      <c r="F66" s="1084" t="s">
        <v>1373</v>
      </c>
      <c r="G66" s="1085">
        <f t="shared" si="0"/>
        <v>3000000</v>
      </c>
      <c r="H66" s="1074"/>
      <c r="I66" s="1094"/>
      <c r="J66" s="1094"/>
      <c r="K66" s="1094"/>
      <c r="L66" s="1094"/>
      <c r="M66" s="1094">
        <v>3000000</v>
      </c>
      <c r="N66" s="1094"/>
      <c r="O66" s="1094"/>
      <c r="P66" s="1094"/>
      <c r="Q66" s="1094"/>
      <c r="R66" s="1095"/>
      <c r="S66" s="1095"/>
      <c r="T66" s="1095"/>
      <c r="U66" s="1095"/>
      <c r="V66" s="1095"/>
      <c r="W66" s="1095"/>
      <c r="X66" s="1095"/>
      <c r="Y66" s="1094"/>
      <c r="Z66" s="1094"/>
      <c r="AA66" s="1089"/>
      <c r="AB66" s="1090">
        <v>3000000</v>
      </c>
      <c r="AC66" s="1077">
        <f t="shared" si="1"/>
        <v>0</v>
      </c>
      <c r="AD66" s="894"/>
      <c r="AE66" s="894"/>
      <c r="AF66" s="894"/>
      <c r="AG66" s="894"/>
      <c r="AH66" s="894"/>
      <c r="AI66" s="894"/>
      <c r="AJ66" s="894"/>
      <c r="AK66" s="894"/>
      <c r="AL66" s="894"/>
      <c r="AM66" s="894"/>
      <c r="AN66" s="894"/>
      <c r="AO66" s="894"/>
      <c r="AP66" s="894"/>
      <c r="AQ66" s="894"/>
      <c r="AR66" s="894"/>
      <c r="AS66" s="894"/>
      <c r="AT66" s="894"/>
      <c r="AU66" s="894"/>
      <c r="AV66" s="894"/>
      <c r="AW66" s="894"/>
      <c r="AX66" s="894"/>
      <c r="AY66" s="894"/>
      <c r="AZ66" s="894"/>
      <c r="BA66" s="894"/>
      <c r="BB66" s="894"/>
    </row>
    <row r="67" spans="1:54" s="892" customFormat="1" ht="33">
      <c r="A67" s="1080">
        <f t="shared" si="2"/>
        <v>59</v>
      </c>
      <c r="B67" s="1093" t="s">
        <v>1489</v>
      </c>
      <c r="C67" s="1093" t="s">
        <v>1496</v>
      </c>
      <c r="D67" s="1082" t="s">
        <v>1497</v>
      </c>
      <c r="E67" s="1083" t="s">
        <v>1430</v>
      </c>
      <c r="F67" s="1084" t="s">
        <v>1373</v>
      </c>
      <c r="G67" s="1085">
        <f t="shared" si="0"/>
        <v>2300000</v>
      </c>
      <c r="H67" s="1074"/>
      <c r="I67" s="1094"/>
      <c r="J67" s="1094">
        <v>410000</v>
      </c>
      <c r="K67" s="1094"/>
      <c r="L67" s="1094">
        <v>1100000</v>
      </c>
      <c r="M67" s="1094">
        <v>730000</v>
      </c>
      <c r="N67" s="1094">
        <v>60000</v>
      </c>
      <c r="O67" s="1094"/>
      <c r="P67" s="1094"/>
      <c r="Q67" s="1094"/>
      <c r="R67" s="1095"/>
      <c r="S67" s="1095"/>
      <c r="T67" s="1095"/>
      <c r="U67" s="1095"/>
      <c r="V67" s="1095"/>
      <c r="W67" s="1095"/>
      <c r="X67" s="1095"/>
      <c r="Y67" s="1094"/>
      <c r="Z67" s="1094"/>
      <c r="AA67" s="1089"/>
      <c r="AB67" s="1090">
        <v>2300000</v>
      </c>
      <c r="AC67" s="1077">
        <f t="shared" si="1"/>
        <v>0</v>
      </c>
      <c r="AD67" s="894"/>
      <c r="AE67" s="894"/>
      <c r="AF67" s="894"/>
      <c r="AG67" s="894"/>
      <c r="AH67" s="894"/>
      <c r="AI67" s="894"/>
      <c r="AJ67" s="894"/>
      <c r="AK67" s="894"/>
      <c r="AL67" s="894"/>
      <c r="AM67" s="894"/>
      <c r="AN67" s="894"/>
      <c r="AO67" s="894"/>
      <c r="AP67" s="894"/>
      <c r="AQ67" s="894"/>
      <c r="AR67" s="894"/>
      <c r="AS67" s="894"/>
      <c r="AT67" s="894"/>
      <c r="AU67" s="894"/>
      <c r="AV67" s="894"/>
      <c r="AW67" s="894"/>
      <c r="AX67" s="894"/>
      <c r="AY67" s="894"/>
      <c r="AZ67" s="894"/>
      <c r="BA67" s="894"/>
      <c r="BB67" s="894"/>
    </row>
    <row r="68" spans="1:54" s="892" customFormat="1" ht="33">
      <c r="A68" s="1080">
        <f t="shared" si="2"/>
        <v>60</v>
      </c>
      <c r="B68" s="1093" t="s">
        <v>1258</v>
      </c>
      <c r="C68" s="1093" t="s">
        <v>1498</v>
      </c>
      <c r="D68" s="1082" t="s">
        <v>1499</v>
      </c>
      <c r="E68" s="1083" t="s">
        <v>1372</v>
      </c>
      <c r="F68" s="1084" t="s">
        <v>1373</v>
      </c>
      <c r="G68" s="1085">
        <f t="shared" si="0"/>
        <v>12000000</v>
      </c>
      <c r="H68" s="1074"/>
      <c r="I68" s="1094"/>
      <c r="J68" s="1094"/>
      <c r="K68" s="1094"/>
      <c r="L68" s="1094"/>
      <c r="M68" s="1094"/>
      <c r="N68" s="1094"/>
      <c r="O68" s="1094">
        <v>12000000</v>
      </c>
      <c r="P68" s="1094"/>
      <c r="Q68" s="1094"/>
      <c r="R68" s="1095"/>
      <c r="S68" s="1095"/>
      <c r="T68" s="1095"/>
      <c r="U68" s="1095"/>
      <c r="V68" s="1095"/>
      <c r="W68" s="1095"/>
      <c r="X68" s="1095"/>
      <c r="Y68" s="1094"/>
      <c r="Z68" s="1094"/>
      <c r="AA68" s="1089"/>
      <c r="AB68" s="1090"/>
      <c r="AC68" s="1077"/>
      <c r="AD68" s="894"/>
      <c r="AE68" s="894"/>
      <c r="AF68" s="894"/>
      <c r="AG68" s="894"/>
      <c r="AH68" s="894"/>
      <c r="AI68" s="894"/>
      <c r="AJ68" s="894"/>
      <c r="AK68" s="894"/>
      <c r="AL68" s="894"/>
      <c r="AM68" s="894"/>
      <c r="AN68" s="894"/>
      <c r="AO68" s="894"/>
      <c r="AP68" s="894"/>
      <c r="AQ68" s="894"/>
      <c r="AR68" s="894"/>
      <c r="AS68" s="894"/>
      <c r="AT68" s="894"/>
      <c r="AU68" s="894"/>
      <c r="AV68" s="894"/>
      <c r="AW68" s="894"/>
      <c r="AX68" s="894"/>
      <c r="AY68" s="894"/>
      <c r="AZ68" s="894"/>
      <c r="BA68" s="894"/>
      <c r="BB68" s="894"/>
    </row>
    <row r="69" spans="1:54" s="892" customFormat="1" ht="33">
      <c r="A69" s="1080">
        <f t="shared" si="2"/>
        <v>61</v>
      </c>
      <c r="B69" s="1093" t="s">
        <v>1258</v>
      </c>
      <c r="C69" s="1093" t="s">
        <v>1498</v>
      </c>
      <c r="D69" s="1082" t="s">
        <v>1500</v>
      </c>
      <c r="E69" s="1083" t="s">
        <v>1372</v>
      </c>
      <c r="F69" s="1084" t="s">
        <v>1373</v>
      </c>
      <c r="G69" s="1085">
        <f t="shared" si="0"/>
        <v>8000000</v>
      </c>
      <c r="H69" s="1074"/>
      <c r="I69" s="1094"/>
      <c r="J69" s="1094">
        <v>700000</v>
      </c>
      <c r="K69" s="1094"/>
      <c r="L69" s="1094">
        <v>4100000</v>
      </c>
      <c r="M69" s="1094">
        <v>2200000</v>
      </c>
      <c r="N69" s="1094">
        <v>1000000</v>
      </c>
      <c r="O69" s="1094"/>
      <c r="P69" s="1094"/>
      <c r="Q69" s="1094"/>
      <c r="R69" s="1095"/>
      <c r="S69" s="1095"/>
      <c r="T69" s="1095"/>
      <c r="U69" s="1095"/>
      <c r="V69" s="1095"/>
      <c r="W69" s="1095"/>
      <c r="X69" s="1095"/>
      <c r="Y69" s="1094"/>
      <c r="Z69" s="1094"/>
      <c r="AA69" s="1089"/>
      <c r="AB69" s="1090"/>
      <c r="AC69" s="1077"/>
      <c r="AD69" s="894"/>
      <c r="AE69" s="894"/>
      <c r="AF69" s="894"/>
      <c r="AG69" s="894"/>
      <c r="AH69" s="894"/>
      <c r="AI69" s="894"/>
      <c r="AJ69" s="894"/>
      <c r="AK69" s="894"/>
      <c r="AL69" s="894"/>
      <c r="AM69" s="894"/>
      <c r="AN69" s="894"/>
      <c r="AO69" s="894"/>
      <c r="AP69" s="894"/>
      <c r="AQ69" s="894"/>
      <c r="AR69" s="894"/>
      <c r="AS69" s="894"/>
      <c r="AT69" s="894"/>
      <c r="AU69" s="894"/>
      <c r="AV69" s="894"/>
      <c r="AW69" s="894"/>
      <c r="AX69" s="894"/>
      <c r="AY69" s="894"/>
      <c r="AZ69" s="894"/>
      <c r="BA69" s="894"/>
      <c r="BB69" s="894"/>
    </row>
    <row r="70" spans="1:54" s="894" customFormat="1" ht="12.75" customHeight="1">
      <c r="A70" s="895"/>
      <c r="B70" s="896"/>
      <c r="C70" s="897"/>
      <c r="D70" s="898"/>
      <c r="E70" s="899"/>
      <c r="F70" s="900"/>
      <c r="G70" s="901"/>
      <c r="H70" s="893"/>
      <c r="I70" s="902"/>
      <c r="J70" s="902"/>
      <c r="K70" s="902"/>
      <c r="L70" s="902"/>
      <c r="M70" s="902"/>
      <c r="N70" s="902"/>
      <c r="O70" s="902"/>
      <c r="P70" s="902"/>
      <c r="Q70" s="902"/>
      <c r="R70" s="902"/>
      <c r="S70" s="902"/>
      <c r="T70" s="902"/>
      <c r="U70" s="902"/>
      <c r="V70" s="902"/>
      <c r="W70" s="902"/>
      <c r="X70" s="902"/>
      <c r="Y70" s="902"/>
      <c r="Z70" s="902"/>
    </row>
    <row r="71" spans="1:54" s="905" customFormat="1">
      <c r="A71" s="1468" t="s">
        <v>1259</v>
      </c>
      <c r="B71" s="1469"/>
      <c r="C71" s="1469"/>
      <c r="D71" s="1469"/>
      <c r="E71" s="1469"/>
      <c r="F71" s="1470"/>
      <c r="G71" s="903">
        <f>SUM(G8:G70)</f>
        <v>130000000</v>
      </c>
      <c r="H71" s="904"/>
      <c r="I71" s="903">
        <f>SUM(I8:I70)</f>
        <v>2000000</v>
      </c>
      <c r="J71" s="903">
        <f t="shared" ref="J71:Z71" si="3">SUM(J8:J70)</f>
        <v>6674000</v>
      </c>
      <c r="K71" s="903">
        <f t="shared" si="3"/>
        <v>0</v>
      </c>
      <c r="L71" s="903">
        <f t="shared" si="3"/>
        <v>42688000</v>
      </c>
      <c r="M71" s="903">
        <f t="shared" si="3"/>
        <v>48318000</v>
      </c>
      <c r="N71" s="903">
        <f t="shared" si="3"/>
        <v>3708000</v>
      </c>
      <c r="O71" s="903">
        <f t="shared" si="3"/>
        <v>13521000</v>
      </c>
      <c r="P71" s="903">
        <f t="shared" si="3"/>
        <v>500000</v>
      </c>
      <c r="Q71" s="903">
        <f t="shared" si="3"/>
        <v>615000</v>
      </c>
      <c r="R71" s="903">
        <f t="shared" si="3"/>
        <v>543000</v>
      </c>
      <c r="S71" s="903">
        <f t="shared" si="3"/>
        <v>95000</v>
      </c>
      <c r="T71" s="903">
        <f t="shared" si="3"/>
        <v>38000</v>
      </c>
      <c r="U71" s="903">
        <f t="shared" si="3"/>
        <v>0</v>
      </c>
      <c r="V71" s="903">
        <f t="shared" si="3"/>
        <v>1350000</v>
      </c>
      <c r="W71" s="903">
        <f t="shared" si="3"/>
        <v>0</v>
      </c>
      <c r="X71" s="903">
        <f t="shared" si="3"/>
        <v>0</v>
      </c>
      <c r="Y71" s="903">
        <f t="shared" si="3"/>
        <v>6800000</v>
      </c>
      <c r="Z71" s="903">
        <f t="shared" si="3"/>
        <v>3150000</v>
      </c>
    </row>
    <row r="72" spans="1:54" s="909" customFormat="1">
      <c r="A72" s="906"/>
      <c r="B72" s="906"/>
      <c r="C72" s="907"/>
      <c r="D72" s="907"/>
      <c r="E72" s="908"/>
      <c r="F72" s="908"/>
      <c r="H72" s="891"/>
      <c r="I72" s="891"/>
      <c r="J72" s="910"/>
      <c r="K72" s="910"/>
      <c r="L72" s="910"/>
      <c r="M72" s="910"/>
      <c r="N72" s="910"/>
      <c r="O72" s="910"/>
      <c r="P72" s="910"/>
      <c r="R72" s="861"/>
    </row>
    <row r="73" spans="1:54" s="909" customFormat="1">
      <c r="A73" s="906"/>
      <c r="B73" s="906"/>
      <c r="C73" s="907"/>
      <c r="D73" s="907"/>
      <c r="E73" s="908"/>
      <c r="F73" s="908"/>
      <c r="H73" s="891"/>
      <c r="I73" s="891"/>
      <c r="J73" s="1099"/>
      <c r="K73" s="1099"/>
      <c r="L73" s="1099"/>
      <c r="M73" s="1099"/>
      <c r="N73" s="1099"/>
      <c r="O73" s="1099"/>
      <c r="P73" s="1099"/>
      <c r="R73" s="861"/>
    </row>
    <row r="74" spans="1:54" s="909" customFormat="1">
      <c r="A74" s="906"/>
      <c r="B74" s="906"/>
      <c r="C74" s="907"/>
      <c r="D74" s="907"/>
      <c r="E74" s="908"/>
      <c r="F74" s="908"/>
      <c r="H74" s="891"/>
      <c r="I74" s="891"/>
      <c r="J74" s="1099"/>
      <c r="K74" s="1099"/>
      <c r="L74" s="1099"/>
      <c r="M74" s="1099"/>
      <c r="N74" s="1099"/>
      <c r="O74" s="1099"/>
      <c r="P74" s="1099"/>
      <c r="R74" s="861"/>
    </row>
    <row r="75" spans="1:54">
      <c r="C75" s="1467" t="s">
        <v>1315</v>
      </c>
      <c r="D75" s="1467"/>
      <c r="E75" s="965">
        <v>41169</v>
      </c>
      <c r="F75" s="867"/>
      <c r="G75" s="868"/>
      <c r="I75" s="1098">
        <f>SUM(H71:AA71)</f>
        <v>130000000</v>
      </c>
    </row>
    <row r="76" spans="1:54">
      <c r="C76" s="1464" t="s">
        <v>1316</v>
      </c>
      <c r="D76" s="1464"/>
      <c r="E76" s="964" t="s">
        <v>628</v>
      </c>
      <c r="F76" s="869"/>
      <c r="G76" s="870"/>
      <c r="I76" s="1098">
        <f>G71-I75</f>
        <v>0</v>
      </c>
    </row>
    <row r="79" spans="1:54">
      <c r="G79" s="871"/>
    </row>
  </sheetData>
  <sheetProtection password="AC08" sheet="1"/>
  <mergeCells count="6">
    <mergeCell ref="C76:D76"/>
    <mergeCell ref="A3:G3"/>
    <mergeCell ref="A5:G5"/>
    <mergeCell ref="A6:G6"/>
    <mergeCell ref="C75:D75"/>
    <mergeCell ref="A71:F71"/>
  </mergeCells>
  <printOptions horizontalCentered="1"/>
  <pageMargins left="0.70866141732283472" right="0.19685039370078741" top="0.19685039370078741" bottom="0.6692913385826772" header="0" footer="0.31496062992125984"/>
  <pageSetup scale="65" orientation="portrait" horizontalDpi="360" verticalDpi="360" r:id="rId1"/>
  <headerFooter alignWithMargins="0">
    <oddFooter>&amp;C&amp;"Times New Roman,Negrita"&amp;16Pág. &amp;P</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5C6E4-3FBE-4C6E-B6A1-87B2CB1B9616}">
  <sheetPr codeName="Hoja19">
    <pageSetUpPr fitToPage="1"/>
  </sheetPr>
  <dimension ref="A1:F22"/>
  <sheetViews>
    <sheetView showGridLines="0" zoomScale="95" workbookViewId="0">
      <selection activeCell="D1" sqref="D1:D65536"/>
    </sheetView>
  </sheetViews>
  <sheetFormatPr defaultRowHeight="15.75"/>
  <cols>
    <col min="1" max="1" width="46.375" customWidth="1"/>
    <col min="2" max="2" width="11.75" customWidth="1"/>
    <col min="3" max="3" width="21.625" customWidth="1"/>
    <col min="4" max="4" width="0" hidden="1" customWidth="1"/>
    <col min="5" max="5" width="11" customWidth="1"/>
    <col min="6" max="6" width="19.875" customWidth="1"/>
    <col min="7" max="256" width="11" customWidth="1"/>
  </cols>
  <sheetData>
    <row r="1" spans="1:6" s="563" customFormat="1" ht="26.25" thickBot="1">
      <c r="A1" s="561" t="s">
        <v>32</v>
      </c>
      <c r="B1" s="561"/>
      <c r="C1" s="591" t="str">
        <f>'CUADRO 5 Transf'!F1</f>
        <v>Presupuesto Ordinario 2013</v>
      </c>
      <c r="D1" s="1357" t="s">
        <v>621</v>
      </c>
    </row>
    <row r="4" spans="1:6">
      <c r="D4" s="72"/>
    </row>
    <row r="5" spans="1:6" ht="18.75">
      <c r="A5" s="1463" t="s">
        <v>566</v>
      </c>
      <c r="B5" s="1463"/>
      <c r="C5" s="1463"/>
    </row>
    <row r="6" spans="1:6" ht="18.75">
      <c r="A6" s="50"/>
      <c r="B6" s="50"/>
      <c r="C6" s="50"/>
    </row>
    <row r="7" spans="1:6" ht="21.75" customHeight="1">
      <c r="A7" s="1365" t="s">
        <v>567</v>
      </c>
      <c r="B7" s="1365"/>
      <c r="C7" s="1365"/>
    </row>
    <row r="8" spans="1:6" ht="21.75" customHeight="1">
      <c r="A8" s="1471" t="s">
        <v>262</v>
      </c>
      <c r="B8" s="1471"/>
      <c r="C8" s="1471"/>
    </row>
    <row r="9" spans="1:6" ht="30.75" customHeight="1">
      <c r="A9" s="86"/>
      <c r="B9" s="86"/>
      <c r="C9" s="86"/>
    </row>
    <row r="10" spans="1:6" s="138" customFormat="1" ht="31.5" customHeight="1">
      <c r="A10" s="1472" t="s">
        <v>568</v>
      </c>
      <c r="B10" s="1473"/>
      <c r="C10" s="291" t="s">
        <v>98</v>
      </c>
    </row>
    <row r="11" spans="1:6" ht="39.75" customHeight="1">
      <c r="A11" s="275" t="s">
        <v>569</v>
      </c>
      <c r="B11" s="272"/>
      <c r="C11" s="246">
        <f>'OBJ. GASTO (contraloría)'!C13</f>
        <v>757345863</v>
      </c>
      <c r="D11" s="815">
        <f>C11-[1]GASTOS!$D$51</f>
        <v>0</v>
      </c>
      <c r="F11" s="19"/>
    </row>
    <row r="12" spans="1:6" ht="39.75" customHeight="1">
      <c r="A12" s="276" t="s">
        <v>570</v>
      </c>
      <c r="B12" s="273"/>
      <c r="C12" s="247">
        <f>'OBJ. GASTO (contraloría)'!C14</f>
        <v>985596883</v>
      </c>
      <c r="D12" s="815">
        <f>C12-[1]GASTOS!$D$127</f>
        <v>0</v>
      </c>
      <c r="F12" s="19"/>
    </row>
    <row r="13" spans="1:6" ht="39.75" customHeight="1">
      <c r="A13" s="276" t="s">
        <v>571</v>
      </c>
      <c r="B13" s="273"/>
      <c r="C13" s="249">
        <f>'OBJ. GASTO (contraloría)'!C16</f>
        <v>1099249712</v>
      </c>
      <c r="D13" s="815">
        <f>C13-[1]GASTOS!$D$190</f>
        <v>0</v>
      </c>
      <c r="F13" s="19"/>
    </row>
    <row r="14" spans="1:6" s="90" customFormat="1" ht="48" customHeight="1">
      <c r="A14" s="277" t="s">
        <v>40</v>
      </c>
      <c r="B14" s="274"/>
      <c r="C14" s="248">
        <f>SUM(C11:C13)</f>
        <v>2842192458</v>
      </c>
      <c r="F14" s="19"/>
    </row>
    <row r="21" spans="1:3">
      <c r="A21" s="961" t="s">
        <v>1314</v>
      </c>
      <c r="B21" s="224"/>
      <c r="C21" s="298">
        <v>41179</v>
      </c>
    </row>
    <row r="22" spans="1:3">
      <c r="A22" s="720" t="s">
        <v>1068</v>
      </c>
      <c r="B22" s="15"/>
      <c r="C22" s="49" t="s">
        <v>628</v>
      </c>
    </row>
  </sheetData>
  <sheetProtection password="AC08" sheet="1"/>
  <mergeCells count="4">
    <mergeCell ref="A5:C5"/>
    <mergeCell ref="A7:C7"/>
    <mergeCell ref="A8:C8"/>
    <mergeCell ref="A10:B10"/>
  </mergeCells>
  <phoneticPr fontId="0" type="noConversion"/>
  <printOptions horizontalCentered="1"/>
  <pageMargins left="1.1811023622047245" right="0.39370078740157483" top="0.19685039370078741" bottom="0.86614173228346458" header="0.19685039370078741" footer="0.39370078740157483"/>
  <pageSetup orientation="portrait" horizontalDpi="360" verticalDpi="360" r:id="rId1"/>
  <headerFooter alignWithMargins="0">
    <oddFooter>&amp;C&amp;"Times New Roman,Negrita"&amp;11Pág.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B7947-67AC-4DB3-9B38-045FD41F6B7A}">
  <sheetPr codeName="Hoja2"/>
  <dimension ref="A1:G215"/>
  <sheetViews>
    <sheetView workbookViewId="0">
      <selection activeCell="J6" sqref="J6"/>
    </sheetView>
  </sheetViews>
  <sheetFormatPr defaultRowHeight="15.75"/>
  <cols>
    <col min="1" max="1" width="2.125" customWidth="1"/>
    <col min="2" max="2" width="3.375" customWidth="1"/>
    <col min="3" max="3" width="3.875" customWidth="1"/>
    <col min="4" max="4" width="56.375" customWidth="1"/>
    <col min="5" max="5" width="10" customWidth="1"/>
    <col min="6" max="6" width="2.375" customWidth="1"/>
    <col min="7" max="7" width="0" hidden="1" customWidth="1"/>
    <col min="8" max="256" width="11" customWidth="1"/>
  </cols>
  <sheetData>
    <row r="1" spans="1:7" s="563" customFormat="1" ht="26.25" thickBot="1">
      <c r="A1" s="560" t="s">
        <v>32</v>
      </c>
      <c r="B1" s="561"/>
      <c r="C1" s="561"/>
      <c r="D1" s="561"/>
      <c r="E1" s="561"/>
      <c r="F1" s="562" t="s">
        <v>1331</v>
      </c>
      <c r="G1" s="670" t="s">
        <v>621</v>
      </c>
    </row>
    <row r="4" spans="1:7" ht="21.75">
      <c r="B4" s="5" t="s">
        <v>34</v>
      </c>
      <c r="C4" s="5"/>
      <c r="D4" s="5"/>
      <c r="E4" s="3"/>
    </row>
    <row r="5" spans="1:7" s="53" customFormat="1">
      <c r="B5" s="68"/>
      <c r="C5" s="68"/>
      <c r="D5" s="68"/>
      <c r="E5" s="69"/>
    </row>
    <row r="6" spans="1:7">
      <c r="B6" s="6"/>
      <c r="C6" s="6"/>
      <c r="D6" s="6"/>
      <c r="E6" s="7"/>
    </row>
    <row r="7" spans="1:7" ht="17.25" thickBot="1">
      <c r="B7" s="8" t="s">
        <v>35</v>
      </c>
      <c r="C7" s="8"/>
      <c r="D7" s="9"/>
      <c r="E7" s="10" t="s">
        <v>36</v>
      </c>
    </row>
    <row r="8" spans="1:7" ht="27" customHeight="1" thickTop="1">
      <c r="B8" s="6"/>
      <c r="C8" s="6"/>
      <c r="D8" s="6"/>
      <c r="E8" s="7"/>
    </row>
    <row r="9" spans="1:7" ht="18.75">
      <c r="B9" s="296" t="s">
        <v>1107</v>
      </c>
      <c r="C9" s="296"/>
      <c r="D9" s="6"/>
      <c r="E9" s="7"/>
    </row>
    <row r="10" spans="1:7" ht="25.5" customHeight="1">
      <c r="B10" s="6"/>
      <c r="C10" s="6"/>
      <c r="D10" s="6"/>
      <c r="E10" s="7"/>
    </row>
    <row r="11" spans="1:7" ht="16.5">
      <c r="C11" s="283" t="s">
        <v>6</v>
      </c>
      <c r="E11" s="7" t="s">
        <v>77</v>
      </c>
    </row>
    <row r="12" spans="1:7" ht="18.75">
      <c r="D12" s="52"/>
      <c r="E12" s="7"/>
    </row>
    <row r="13" spans="1:7" ht="16.5">
      <c r="C13" s="283" t="s">
        <v>618</v>
      </c>
      <c r="E13" s="7"/>
    </row>
    <row r="14" spans="1:7" ht="26.25" customHeight="1">
      <c r="B14" s="52"/>
      <c r="C14" s="52"/>
      <c r="D14" s="283" t="s">
        <v>619</v>
      </c>
      <c r="E14" s="7"/>
    </row>
    <row r="15" spans="1:7" ht="18.75">
      <c r="B15" s="52"/>
      <c r="C15" s="52"/>
      <c r="D15" s="6" t="s">
        <v>1219</v>
      </c>
      <c r="E15" s="7" t="s">
        <v>85</v>
      </c>
    </row>
    <row r="16" spans="1:7" ht="27.75" customHeight="1">
      <c r="B16" s="52"/>
      <c r="C16" s="52"/>
      <c r="D16" s="283" t="s">
        <v>620</v>
      </c>
      <c r="E16" s="7"/>
    </row>
    <row r="17" spans="3:7" ht="16.5">
      <c r="D17" s="6" t="s">
        <v>626</v>
      </c>
      <c r="E17" s="12">
        <v>7</v>
      </c>
    </row>
    <row r="18" spans="3:7" ht="16.5">
      <c r="D18" s="6" t="s">
        <v>0</v>
      </c>
      <c r="E18" s="12">
        <v>12</v>
      </c>
    </row>
    <row r="19" spans="3:7" ht="16.5">
      <c r="D19" s="6" t="s">
        <v>627</v>
      </c>
      <c r="E19" s="12">
        <v>13</v>
      </c>
    </row>
    <row r="20" spans="3:7" ht="16.5">
      <c r="D20" s="6" t="s">
        <v>1</v>
      </c>
      <c r="E20" s="12">
        <v>14</v>
      </c>
    </row>
    <row r="21" spans="3:7" ht="16.5" hidden="1">
      <c r="D21" s="6" t="s">
        <v>1049</v>
      </c>
      <c r="E21" s="12"/>
    </row>
    <row r="22" spans="3:7" ht="16.5">
      <c r="D22" s="11"/>
      <c r="E22" s="7"/>
    </row>
    <row r="23" spans="3:7" ht="16.5">
      <c r="D23" s="11"/>
      <c r="E23" s="7"/>
    </row>
    <row r="24" spans="3:7" ht="16.5">
      <c r="C24" s="283" t="s">
        <v>616</v>
      </c>
      <c r="E24" s="7"/>
    </row>
    <row r="25" spans="3:7" ht="19.5" customHeight="1">
      <c r="D25" s="6" t="s">
        <v>1099</v>
      </c>
      <c r="E25" s="12">
        <v>16</v>
      </c>
      <c r="G25" s="695" t="s">
        <v>1633</v>
      </c>
    </row>
    <row r="26" spans="3:7" ht="16.5">
      <c r="D26" s="6" t="s">
        <v>1108</v>
      </c>
      <c r="E26" s="12">
        <v>26</v>
      </c>
      <c r="G26" s="695" t="s">
        <v>1633</v>
      </c>
    </row>
    <row r="27" spans="3:7" ht="16.5">
      <c r="D27" s="6" t="s">
        <v>1609</v>
      </c>
      <c r="E27" s="12">
        <v>27</v>
      </c>
      <c r="G27" s="695" t="s">
        <v>1633</v>
      </c>
    </row>
    <row r="28" spans="3:7" ht="16.5">
      <c r="D28" s="6" t="s">
        <v>1100</v>
      </c>
      <c r="E28" s="12">
        <v>28</v>
      </c>
      <c r="G28" s="695" t="s">
        <v>1633</v>
      </c>
    </row>
    <row r="29" spans="3:7" ht="16.5">
      <c r="D29" s="6" t="s">
        <v>1102</v>
      </c>
      <c r="E29" s="12"/>
      <c r="G29" s="695" t="s">
        <v>1633</v>
      </c>
    </row>
    <row r="30" spans="3:7" ht="16.5">
      <c r="D30" s="6" t="s">
        <v>1101</v>
      </c>
      <c r="E30" s="12">
        <v>29</v>
      </c>
    </row>
    <row r="31" spans="3:7" ht="16.5">
      <c r="D31" s="6" t="s">
        <v>2</v>
      </c>
      <c r="E31" s="12">
        <v>30</v>
      </c>
    </row>
    <row r="32" spans="3:7" ht="16.5">
      <c r="D32" s="6" t="s">
        <v>1103</v>
      </c>
      <c r="E32" s="12">
        <v>31</v>
      </c>
    </row>
    <row r="33" spans="1:7" ht="16.5">
      <c r="D33" s="6" t="s">
        <v>3</v>
      </c>
      <c r="E33" s="12">
        <v>32</v>
      </c>
    </row>
    <row r="34" spans="1:7" ht="16.5">
      <c r="B34" s="283"/>
      <c r="C34" s="283"/>
      <c r="D34" s="6" t="s">
        <v>590</v>
      </c>
      <c r="E34" s="12">
        <v>33</v>
      </c>
    </row>
    <row r="35" spans="1:7" ht="16.5">
      <c r="D35" s="6" t="s">
        <v>4</v>
      </c>
      <c r="E35" s="12">
        <v>34</v>
      </c>
    </row>
    <row r="36" spans="1:7" ht="16.5">
      <c r="D36" s="6" t="s">
        <v>1104</v>
      </c>
      <c r="E36" s="12">
        <v>35</v>
      </c>
      <c r="G36" s="695" t="s">
        <v>1633</v>
      </c>
    </row>
    <row r="37" spans="1:7" ht="16.5">
      <c r="D37" s="6" t="s">
        <v>1109</v>
      </c>
      <c r="E37" s="12">
        <v>38</v>
      </c>
      <c r="G37" s="695" t="s">
        <v>1633</v>
      </c>
    </row>
    <row r="38" spans="1:7" ht="16.5">
      <c r="D38" s="6" t="s">
        <v>1110</v>
      </c>
      <c r="E38" s="12">
        <v>39</v>
      </c>
      <c r="G38" s="695" t="s">
        <v>1633</v>
      </c>
    </row>
    <row r="39" spans="1:7" ht="16.5">
      <c r="D39" s="6" t="s">
        <v>5</v>
      </c>
      <c r="E39" s="12">
        <v>40</v>
      </c>
    </row>
    <row r="40" spans="1:7" ht="16.5">
      <c r="D40" s="6" t="s">
        <v>1111</v>
      </c>
      <c r="E40" s="12">
        <v>41</v>
      </c>
    </row>
    <row r="41" spans="1:7" ht="16.5">
      <c r="D41" s="6"/>
      <c r="E41" s="12"/>
    </row>
    <row r="42" spans="1:7" ht="16.5">
      <c r="D42" s="6"/>
      <c r="E42" s="12"/>
    </row>
    <row r="43" spans="1:7" ht="16.5">
      <c r="D43" s="6"/>
      <c r="E43" s="12"/>
    </row>
    <row r="44" spans="1:7" ht="16.5">
      <c r="A44" s="80"/>
      <c r="B44" s="80"/>
      <c r="C44" s="80"/>
      <c r="D44" s="284" t="s">
        <v>1105</v>
      </c>
      <c r="E44" s="12"/>
    </row>
    <row r="45" spans="1:7" ht="16.5">
      <c r="A45" s="80"/>
      <c r="B45" s="80"/>
      <c r="C45" s="80"/>
      <c r="D45" s="284"/>
      <c r="E45" s="12"/>
    </row>
    <row r="46" spans="1:7" ht="16.5">
      <c r="A46" s="80"/>
      <c r="B46" s="80"/>
      <c r="C46" s="80"/>
      <c r="D46" s="284"/>
      <c r="E46" s="12"/>
    </row>
    <row r="47" spans="1:7" ht="16.5">
      <c r="D47" s="6" t="s">
        <v>1112</v>
      </c>
      <c r="E47" s="12">
        <v>43</v>
      </c>
    </row>
    <row r="48" spans="1:7" ht="16.5">
      <c r="D48" s="6" t="s">
        <v>1113</v>
      </c>
      <c r="E48" s="12">
        <v>44</v>
      </c>
    </row>
    <row r="49" spans="2:5" ht="16.5">
      <c r="D49" s="11"/>
      <c r="E49" s="12"/>
    </row>
    <row r="50" spans="2:5" ht="24" customHeight="1">
      <c r="C50" s="283" t="s">
        <v>7</v>
      </c>
      <c r="E50" s="12">
        <v>45</v>
      </c>
    </row>
    <row r="51" spans="2:5" ht="24" customHeight="1">
      <c r="C51" s="283" t="s">
        <v>11</v>
      </c>
      <c r="E51" s="437">
        <v>54</v>
      </c>
    </row>
    <row r="52" spans="2:5" ht="24" customHeight="1">
      <c r="E52" s="437"/>
    </row>
    <row r="53" spans="2:5" ht="24" customHeight="1">
      <c r="E53" s="437"/>
    </row>
    <row r="54" spans="2:5">
      <c r="B54" s="6"/>
      <c r="C54" s="6"/>
      <c r="D54" s="6"/>
      <c r="E54" s="438"/>
    </row>
    <row r="55" spans="2:5" ht="18.75">
      <c r="B55" s="296" t="s">
        <v>1204</v>
      </c>
      <c r="C55" s="296"/>
      <c r="D55" s="283"/>
      <c r="E55" s="438" t="s">
        <v>1627</v>
      </c>
    </row>
    <row r="56" spans="2:5">
      <c r="D56" s="6" t="s">
        <v>1220</v>
      </c>
      <c r="E56" s="849">
        <v>91</v>
      </c>
    </row>
    <row r="57" spans="2:5">
      <c r="D57" s="6" t="s">
        <v>1221</v>
      </c>
      <c r="E57" s="849">
        <v>94</v>
      </c>
    </row>
    <row r="58" spans="2:5">
      <c r="D58" s="6" t="s">
        <v>1222</v>
      </c>
      <c r="E58" s="849">
        <v>96</v>
      </c>
    </row>
    <row r="59" spans="2:5">
      <c r="D59" s="6" t="s">
        <v>1619</v>
      </c>
      <c r="E59" s="849">
        <v>106</v>
      </c>
    </row>
    <row r="60" spans="2:5">
      <c r="D60" s="6" t="s">
        <v>1326</v>
      </c>
      <c r="E60" s="849">
        <v>108</v>
      </c>
    </row>
    <row r="61" spans="2:5">
      <c r="E61" s="849"/>
    </row>
    <row r="62" spans="2:5">
      <c r="E62" s="80"/>
    </row>
    <row r="63" spans="2:5">
      <c r="E63" s="80"/>
    </row>
    <row r="64" spans="2:5">
      <c r="E64" s="80"/>
    </row>
    <row r="65" spans="1:5">
      <c r="E65" s="80"/>
    </row>
    <row r="66" spans="1:5">
      <c r="E66" s="80"/>
    </row>
    <row r="79" spans="1:5" ht="16.5">
      <c r="A79" s="80"/>
      <c r="B79" s="80"/>
      <c r="C79" s="80"/>
      <c r="D79" s="284"/>
      <c r="E79" s="12"/>
    </row>
    <row r="80" spans="1:5">
      <c r="D80" s="284" t="s">
        <v>1106</v>
      </c>
      <c r="E80" s="849" t="s">
        <v>1022</v>
      </c>
    </row>
    <row r="215" spans="4:4">
      <c r="D215" s="20"/>
    </row>
  </sheetData>
  <sheetProtection password="AC08" sheet="1"/>
  <phoneticPr fontId="0" type="noConversion"/>
  <printOptions horizontalCentered="1"/>
  <pageMargins left="1.4960629921259843" right="0.39370078740157483" top="0.19685039370078741" bottom="0.43307086614173229" header="0.19685039370078741" footer="0.39370078740157483"/>
  <pageSetup orientation="portrait" horizontalDpi="360" verticalDpi="36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21EF-A0F0-4D4E-959E-D4FBC13881C1}">
  <sheetPr codeName="Hoja20">
    <pageSetUpPr fitToPage="1"/>
  </sheetPr>
  <dimension ref="A1:I20"/>
  <sheetViews>
    <sheetView showGridLines="0" zoomScale="95" workbookViewId="0">
      <selection activeCell="E1" sqref="E1:E65536"/>
    </sheetView>
  </sheetViews>
  <sheetFormatPr defaultColWidth="11" defaultRowHeight="15.75"/>
  <cols>
    <col min="1" max="1" width="22.875" style="928" customWidth="1"/>
    <col min="2" max="2" width="24.5" style="928" customWidth="1"/>
    <col min="3" max="3" width="18" style="928" customWidth="1"/>
    <col min="4" max="4" width="17" style="928" customWidth="1"/>
    <col min="5" max="5" width="0" style="928" hidden="1" customWidth="1"/>
    <col min="6" max="16384" width="11" style="928"/>
  </cols>
  <sheetData>
    <row r="1" spans="1:9" s="927" customFormat="1" ht="28.5" thickBot="1">
      <c r="A1" s="1355" t="s">
        <v>32</v>
      </c>
      <c r="B1" s="1043"/>
      <c r="C1" s="1043"/>
      <c r="D1" s="1356" t="s">
        <v>1331</v>
      </c>
      <c r="E1" s="1053" t="s">
        <v>621</v>
      </c>
    </row>
    <row r="4" spans="1:9" ht="18.75">
      <c r="E4" s="929"/>
      <c r="I4" s="930"/>
    </row>
    <row r="5" spans="1:9" ht="18.75">
      <c r="A5" s="1474" t="s">
        <v>1062</v>
      </c>
      <c r="B5" s="1474"/>
      <c r="C5" s="1474"/>
      <c r="D5" s="1474"/>
    </row>
    <row r="6" spans="1:9" ht="18.75">
      <c r="A6" s="931"/>
      <c r="B6" s="931"/>
      <c r="C6" s="931"/>
      <c r="D6" s="931"/>
    </row>
    <row r="7" spans="1:9" ht="21.75" customHeight="1">
      <c r="A7" s="1475" t="s">
        <v>572</v>
      </c>
      <c r="B7" s="1475"/>
      <c r="C7" s="1475"/>
      <c r="D7" s="1475"/>
    </row>
    <row r="8" spans="1:9">
      <c r="A8" s="1476"/>
      <c r="B8" s="1476"/>
      <c r="C8" s="1476"/>
      <c r="D8" s="1476"/>
    </row>
    <row r="9" spans="1:9" ht="18.75">
      <c r="A9" s="932"/>
      <c r="B9" s="932"/>
      <c r="C9" s="932"/>
      <c r="D9" s="932"/>
    </row>
    <row r="10" spans="1:9" s="933" customFormat="1" ht="39.75" customHeight="1">
      <c r="A10" s="1044" t="s">
        <v>573</v>
      </c>
      <c r="B10" s="1044" t="s">
        <v>574</v>
      </c>
      <c r="C10" s="1044" t="s">
        <v>1051</v>
      </c>
      <c r="D10" s="1045" t="s">
        <v>575</v>
      </c>
    </row>
    <row r="11" spans="1:9" ht="146.25" customHeight="1">
      <c r="A11" s="1046" t="s">
        <v>1361</v>
      </c>
      <c r="B11" s="1325" t="s">
        <v>1621</v>
      </c>
      <c r="C11" s="1047" t="s">
        <v>1209</v>
      </c>
      <c r="D11" s="934"/>
    </row>
    <row r="12" spans="1:9" ht="150.75" customHeight="1">
      <c r="A12" s="1046" t="s">
        <v>1362</v>
      </c>
      <c r="B12" s="1325" t="s">
        <v>1208</v>
      </c>
      <c r="C12" s="1047" t="s">
        <v>1210</v>
      </c>
      <c r="D12" s="934"/>
    </row>
    <row r="13" spans="1:9" s="936" customFormat="1" ht="69" customHeight="1">
      <c r="A13" s="1046" t="s">
        <v>1363</v>
      </c>
      <c r="B13" s="1048" t="s">
        <v>1065</v>
      </c>
      <c r="C13" s="1048" t="s">
        <v>1063</v>
      </c>
      <c r="D13" s="935"/>
    </row>
    <row r="14" spans="1:9" s="936" customFormat="1" ht="84" customHeight="1">
      <c r="A14" s="1046" t="s">
        <v>1146</v>
      </c>
      <c r="B14" s="1048" t="s">
        <v>1147</v>
      </c>
      <c r="C14" s="1049" t="s">
        <v>1364</v>
      </c>
      <c r="D14" s="937"/>
    </row>
    <row r="19" spans="1:4">
      <c r="A19" s="1050" t="s">
        <v>1365</v>
      </c>
      <c r="B19" s="1050"/>
      <c r="C19" s="1050"/>
      <c r="D19" s="1051">
        <v>41169</v>
      </c>
    </row>
    <row r="20" spans="1:4" ht="14.25" customHeight="1">
      <c r="A20" s="1052" t="s">
        <v>1366</v>
      </c>
      <c r="B20" s="1052"/>
      <c r="C20" s="1052"/>
      <c r="D20" s="938" t="s">
        <v>628</v>
      </c>
    </row>
  </sheetData>
  <sheetProtection password="AC08" sheet="1"/>
  <mergeCells count="3">
    <mergeCell ref="A5:D5"/>
    <mergeCell ref="A7:D7"/>
    <mergeCell ref="A8:D8"/>
  </mergeCells>
  <printOptions horizontalCentered="1"/>
  <pageMargins left="1.1811023622047245" right="0.39370078740157483" top="0.19685039370078741" bottom="0.78740157480314965" header="0.19685039370078741" footer="0.39370078740157483"/>
  <pageSetup scale="98" orientation="portrait" horizontalDpi="360" verticalDpi="360" r:id="rId1"/>
  <headerFooter alignWithMargins="0">
    <oddFooter>&amp;C&amp;"Times New Roman,Negrita"&amp;11Pág.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F73D-45BE-428F-A67F-827F73A7784C}">
  <sheetPr codeName="Hoja21">
    <pageSetUpPr fitToPage="1"/>
  </sheetPr>
  <dimension ref="A1:J33"/>
  <sheetViews>
    <sheetView workbookViewId="0">
      <selection activeCell="E1" sqref="E1:J65536"/>
    </sheetView>
  </sheetViews>
  <sheetFormatPr defaultRowHeight="15.75"/>
  <cols>
    <col min="1" max="1" width="26.375" customWidth="1"/>
    <col min="2" max="2" width="22.5" customWidth="1"/>
    <col min="3" max="3" width="10.5" customWidth="1"/>
    <col min="4" max="4" width="19.75" customWidth="1"/>
    <col min="5" max="5" width="10.25" hidden="1" customWidth="1"/>
    <col min="6" max="7" width="16.375" style="20" hidden="1" customWidth="1"/>
    <col min="8" max="8" width="8.125" style="20" hidden="1" customWidth="1"/>
    <col min="9" max="9" width="16.25" style="20" hidden="1" customWidth="1"/>
    <col min="10" max="10" width="0" hidden="1" customWidth="1"/>
    <col min="11" max="256" width="11" customWidth="1"/>
  </cols>
  <sheetData>
    <row r="1" spans="1:10" s="563" customFormat="1" ht="26.25" thickBot="1">
      <c r="A1" s="561" t="s">
        <v>32</v>
      </c>
      <c r="B1" s="561"/>
      <c r="C1" s="561"/>
      <c r="D1" s="591" t="str">
        <f>'ADQ. BIENES'!C1</f>
        <v>Presupuesto Ordinario 2013</v>
      </c>
      <c r="E1" s="1357" t="s">
        <v>621</v>
      </c>
    </row>
    <row r="4" spans="1:10" ht="18.75">
      <c r="A4" s="1368" t="s">
        <v>1064</v>
      </c>
      <c r="B4" s="1368"/>
      <c r="C4" s="1368"/>
      <c r="D4" s="1368"/>
      <c r="E4" s="72"/>
    </row>
    <row r="5" spans="1:10" ht="18.75">
      <c r="A5" s="86"/>
      <c r="B5" s="86"/>
      <c r="C5" s="86"/>
      <c r="D5" s="86"/>
      <c r="J5" s="722"/>
    </row>
    <row r="6" spans="1:10" ht="18.75">
      <c r="A6" s="1442" t="s">
        <v>112</v>
      </c>
      <c r="B6" s="1442"/>
      <c r="C6" s="1442"/>
      <c r="D6" s="1442"/>
      <c r="F6" s="817" t="s">
        <v>1182</v>
      </c>
      <c r="G6" s="817" t="s">
        <v>1356</v>
      </c>
      <c r="H6" s="818"/>
    </row>
    <row r="7" spans="1:10">
      <c r="A7" s="55"/>
      <c r="B7" s="55"/>
      <c r="C7" s="55"/>
      <c r="D7" s="55"/>
      <c r="F7" s="819">
        <v>2008</v>
      </c>
      <c r="G7" s="1056"/>
      <c r="H7" s="818">
        <v>0.29070000000000001</v>
      </c>
    </row>
    <row r="8" spans="1:10">
      <c r="A8" s="56"/>
      <c r="B8" s="56"/>
      <c r="C8" s="56"/>
      <c r="D8" s="56"/>
      <c r="F8" s="819">
        <v>2009</v>
      </c>
      <c r="G8" s="1056"/>
      <c r="H8" s="818">
        <v>0.27450000000000002</v>
      </c>
      <c r="I8" s="816">
        <f>H8-H7</f>
        <v>-1.6199999999999992E-2</v>
      </c>
    </row>
    <row r="9" spans="1:10" s="13" customFormat="1" ht="20.25" customHeight="1">
      <c r="A9" s="58" t="s">
        <v>1066</v>
      </c>
      <c r="B9" s="58"/>
      <c r="D9" s="67">
        <f>INGRESOS!C154</f>
        <v>5051796500</v>
      </c>
      <c r="F9" s="819">
        <v>2010</v>
      </c>
      <c r="G9" s="1056"/>
      <c r="H9" s="818">
        <v>0.27379999999999999</v>
      </c>
      <c r="I9" s="816">
        <f>H9-H8</f>
        <v>-7.0000000000003393E-4</v>
      </c>
    </row>
    <row r="10" spans="1:10" s="6" customFormat="1" ht="20.25" customHeight="1">
      <c r="A10" s="56"/>
      <c r="B10" s="56"/>
      <c r="D10" s="17"/>
      <c r="F10" s="819">
        <v>2011</v>
      </c>
      <c r="G10" s="1056"/>
      <c r="H10" s="818">
        <v>0.28360000000000002</v>
      </c>
      <c r="I10" s="816">
        <f>H10-H9</f>
        <v>9.8000000000000309E-3</v>
      </c>
    </row>
    <row r="11" spans="1:10" s="6" customFormat="1" ht="20.25" customHeight="1">
      <c r="A11" s="56" t="s">
        <v>99</v>
      </c>
      <c r="B11" s="56"/>
      <c r="C11" s="721">
        <v>0.4</v>
      </c>
      <c r="D11" s="17">
        <f>D9*C11</f>
        <v>2020718600</v>
      </c>
      <c r="F11" s="819">
        <v>2012</v>
      </c>
      <c r="G11" s="1056">
        <v>1306008059</v>
      </c>
      <c r="H11" s="818">
        <v>0.27860000000000001</v>
      </c>
      <c r="I11" s="816">
        <f>H11-H10</f>
        <v>-5.0000000000000044E-3</v>
      </c>
      <c r="J11" s="722"/>
    </row>
    <row r="12" spans="1:10" s="6" customFormat="1" ht="20.25" customHeight="1">
      <c r="A12" s="66" t="s">
        <v>101</v>
      </c>
      <c r="B12" s="56"/>
      <c r="D12" s="17"/>
      <c r="F12" s="819">
        <v>2013</v>
      </c>
      <c r="G12" s="1056"/>
      <c r="H12" s="819"/>
      <c r="I12" s="816">
        <f>H12-H11</f>
        <v>-0.27860000000000001</v>
      </c>
      <c r="J12" s="722"/>
    </row>
    <row r="13" spans="1:10" s="6" customFormat="1">
      <c r="A13" s="56"/>
      <c r="B13" s="56"/>
      <c r="D13" s="17"/>
      <c r="F13" s="819"/>
      <c r="G13" s="1056"/>
      <c r="H13" s="819"/>
      <c r="I13" s="20"/>
      <c r="J13" s="722"/>
    </row>
    <row r="14" spans="1:10" ht="16.5">
      <c r="A14" s="838" t="s">
        <v>102</v>
      </c>
      <c r="B14" s="56"/>
      <c r="C14" s="57">
        <f>D14/D9</f>
        <v>0.30141159062919498</v>
      </c>
      <c r="D14" s="67">
        <f>B27</f>
        <v>1522670018.5999999</v>
      </c>
      <c r="F14" s="819"/>
      <c r="G14" s="1056"/>
      <c r="H14" s="819"/>
      <c r="J14" s="722"/>
    </row>
    <row r="15" spans="1:10">
      <c r="A15" s="56"/>
      <c r="B15" s="56"/>
      <c r="C15" s="129"/>
      <c r="D15" s="1054"/>
      <c r="J15" s="722"/>
    </row>
    <row r="16" spans="1:10">
      <c r="A16" s="56" t="s">
        <v>1355</v>
      </c>
      <c r="B16" s="56"/>
      <c r="C16" s="1055">
        <v>0.27860000000000001</v>
      </c>
      <c r="D16" s="1007">
        <v>1306008059</v>
      </c>
      <c r="J16" s="722"/>
    </row>
    <row r="17" spans="1:10">
      <c r="A17" s="56"/>
      <c r="B17" s="56"/>
      <c r="C17" s="6"/>
      <c r="D17" s="56"/>
      <c r="J17" s="722"/>
    </row>
    <row r="18" spans="1:10">
      <c r="A18" s="56"/>
      <c r="B18" s="56"/>
      <c r="C18" s="6"/>
      <c r="D18" s="56"/>
      <c r="J18" s="722"/>
    </row>
    <row r="19" spans="1:10">
      <c r="A19" s="56"/>
      <c r="B19" s="56"/>
      <c r="C19" s="6"/>
      <c r="D19" s="56"/>
      <c r="J19" s="6"/>
    </row>
    <row r="20" spans="1:10">
      <c r="A20" s="58" t="s">
        <v>103</v>
      </c>
      <c r="B20" s="56"/>
      <c r="C20" s="56"/>
      <c r="D20" s="56"/>
    </row>
    <row r="21" spans="1:10" ht="16.5" thickBot="1">
      <c r="A21" s="56"/>
      <c r="B21" s="56"/>
      <c r="C21" s="56"/>
      <c r="D21" s="56"/>
    </row>
    <row r="22" spans="1:10">
      <c r="A22" s="292" t="s">
        <v>104</v>
      </c>
      <c r="B22" s="293" t="s">
        <v>105</v>
      </c>
      <c r="C22" s="294" t="s">
        <v>62</v>
      </c>
      <c r="F22"/>
      <c r="G22"/>
      <c r="H22"/>
      <c r="I22"/>
    </row>
    <row r="23" spans="1:10">
      <c r="A23" s="59"/>
      <c r="B23" s="60"/>
      <c r="C23" s="61"/>
      <c r="F23"/>
      <c r="G23"/>
      <c r="H23"/>
      <c r="I23"/>
    </row>
    <row r="24" spans="1:10" ht="29.25" customHeight="1">
      <c r="A24" s="831" t="s">
        <v>1223</v>
      </c>
      <c r="B24" s="832">
        <f>[1]GASTOS!$H$340</f>
        <v>1432625796.5999999</v>
      </c>
      <c r="C24" s="64"/>
      <c r="F24"/>
      <c r="G24"/>
      <c r="H24"/>
      <c r="I24"/>
    </row>
    <row r="25" spans="1:10" ht="20.25" customHeight="1">
      <c r="A25" s="831" t="s">
        <v>1224</v>
      </c>
      <c r="B25" s="832">
        <f>[1]GASTOS!$M$339</f>
        <v>90044222</v>
      </c>
      <c r="C25" s="63"/>
      <c r="F25"/>
      <c r="G25"/>
      <c r="H25"/>
      <c r="I25"/>
    </row>
    <row r="26" spans="1:10">
      <c r="A26" s="833"/>
      <c r="B26" s="834"/>
      <c r="C26" s="835"/>
      <c r="F26"/>
      <c r="G26"/>
      <c r="H26"/>
      <c r="I26"/>
    </row>
    <row r="27" spans="1:10" s="22" customFormat="1" ht="27" customHeight="1" thickBot="1">
      <c r="A27" s="836" t="s">
        <v>106</v>
      </c>
      <c r="B27" s="836">
        <f>SUM(B23:B26)</f>
        <v>1522670018.5999999</v>
      </c>
      <c r="C27" s="837">
        <f xml:space="preserve"> B27/D9</f>
        <v>0.30141159062919498</v>
      </c>
    </row>
    <row r="28" spans="1:10" ht="16.5" thickTop="1">
      <c r="A28" s="65"/>
      <c r="B28" s="47"/>
      <c r="C28" s="65"/>
      <c r="F28"/>
      <c r="G28"/>
      <c r="H28"/>
      <c r="I28"/>
    </row>
    <row r="29" spans="1:10">
      <c r="A29" s="65"/>
      <c r="B29" s="47"/>
      <c r="C29" s="65"/>
      <c r="F29"/>
      <c r="G29"/>
      <c r="H29"/>
      <c r="I29"/>
    </row>
    <row r="30" spans="1:10">
      <c r="A30" s="56"/>
      <c r="B30" s="56"/>
      <c r="C30" s="56"/>
      <c r="D30" s="56"/>
      <c r="E30" s="56"/>
      <c r="F30" s="56"/>
      <c r="G30" s="56"/>
      <c r="H30" s="56"/>
      <c r="I30" s="56"/>
      <c r="J30" s="56"/>
    </row>
    <row r="32" spans="1:10">
      <c r="A32" s="79" t="s">
        <v>17</v>
      </c>
      <c r="B32" s="1477" t="s">
        <v>1241</v>
      </c>
      <c r="C32" s="1477"/>
      <c r="D32" s="298">
        <v>41179</v>
      </c>
    </row>
    <row r="33" spans="1:4">
      <c r="A33" s="15"/>
      <c r="B33" s="1383" t="s">
        <v>1068</v>
      </c>
      <c r="C33" s="1383"/>
      <c r="D33" s="526" t="s">
        <v>628</v>
      </c>
    </row>
  </sheetData>
  <sheetProtection password="AC08" sheet="1"/>
  <mergeCells count="4">
    <mergeCell ref="B33:C33"/>
    <mergeCell ref="A4:D4"/>
    <mergeCell ref="A6:D6"/>
    <mergeCell ref="B32:C32"/>
  </mergeCells>
  <phoneticPr fontId="0" type="noConversion"/>
  <printOptions horizontalCentered="1"/>
  <pageMargins left="1.3385826771653544" right="0.27559055118110237" top="0.19685039370078741" bottom="0.78740157480314965" header="0.19685039370078741" footer="0.39370078740157483"/>
  <pageSetup orientation="portrait" horizontalDpi="360" verticalDpi="360" r:id="rId1"/>
  <headerFooter alignWithMargins="0">
    <oddFooter>&amp;C&amp;"Times New Roman,Negrita"&amp;11Pág.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52377-4F6F-4522-841E-12CC5B4CB55C}">
  <sheetPr codeName="Hoja22"/>
  <dimension ref="A1:L77"/>
  <sheetViews>
    <sheetView workbookViewId="0">
      <selection activeCell="J1" sqref="J1:N65536"/>
    </sheetView>
  </sheetViews>
  <sheetFormatPr defaultColWidth="11.375" defaultRowHeight="12.75"/>
  <cols>
    <col min="1" max="1" width="10" style="1102" customWidth="1"/>
    <col min="2" max="2" width="9" style="1102" customWidth="1"/>
    <col min="3" max="3" width="20.5" style="1102" customWidth="1"/>
    <col min="4" max="4" width="13.25" style="1102" customWidth="1"/>
    <col min="5" max="5" width="11.25" style="1102" customWidth="1"/>
    <col min="6" max="6" width="7.5" style="1102" hidden="1" customWidth="1"/>
    <col min="7" max="7" width="12.625" style="1102" customWidth="1"/>
    <col min="8" max="8" width="11" style="1102" customWidth="1"/>
    <col min="9" max="9" width="18.375" style="1102" customWidth="1"/>
    <col min="10" max="11" width="12" style="1102" hidden="1" customWidth="1"/>
    <col min="12" max="12" width="13" style="1102" hidden="1" customWidth="1"/>
    <col min="13" max="14" width="0" style="1102" hidden="1" customWidth="1"/>
    <col min="15" max="16384" width="11.375" style="1102"/>
  </cols>
  <sheetData>
    <row r="1" spans="1:10" s="1350" customFormat="1" ht="26.25" customHeight="1" thickBot="1">
      <c r="A1" s="1347" t="s">
        <v>32</v>
      </c>
      <c r="B1" s="1348"/>
      <c r="C1" s="1348"/>
      <c r="D1" s="1348"/>
      <c r="E1" s="1348"/>
      <c r="F1" s="1348"/>
      <c r="G1" s="1348"/>
      <c r="H1" s="1348"/>
      <c r="I1" s="1349" t="s">
        <v>1331</v>
      </c>
      <c r="J1" s="1357" t="s">
        <v>621</v>
      </c>
    </row>
    <row r="2" spans="1:10" ht="24.75">
      <c r="B2" s="1103"/>
      <c r="C2" s="1103"/>
      <c r="D2" s="1103"/>
      <c r="E2" s="1103"/>
      <c r="F2" s="1103"/>
      <c r="G2" s="1103"/>
      <c r="H2" s="1103"/>
      <c r="I2" s="1103"/>
    </row>
    <row r="3" spans="1:10" ht="18">
      <c r="A3" s="1478" t="s">
        <v>1039</v>
      </c>
      <c r="B3" s="1478"/>
      <c r="C3" s="1478"/>
      <c r="D3" s="1478"/>
      <c r="E3" s="1478"/>
      <c r="F3" s="1478"/>
      <c r="G3" s="1478"/>
      <c r="H3" s="1478"/>
      <c r="I3" s="1478"/>
    </row>
    <row r="4" spans="1:10" ht="18">
      <c r="A4" s="1479" t="s">
        <v>659</v>
      </c>
      <c r="B4" s="1479"/>
      <c r="C4" s="1479"/>
      <c r="D4" s="1479"/>
      <c r="E4" s="1479"/>
      <c r="F4" s="1479"/>
      <c r="G4" s="1479"/>
      <c r="H4" s="1479"/>
      <c r="I4" s="1479"/>
    </row>
    <row r="5" spans="1:10" ht="18">
      <c r="A5" s="1104"/>
      <c r="B5" s="1104"/>
      <c r="C5" s="1104"/>
      <c r="D5" s="1104"/>
      <c r="E5" s="1104"/>
      <c r="F5" s="1104"/>
      <c r="G5" s="1104"/>
      <c r="H5" s="1104"/>
      <c r="I5" s="1104"/>
    </row>
    <row r="6" spans="1:10" ht="18">
      <c r="A6" s="1480" t="s">
        <v>1003</v>
      </c>
      <c r="B6" s="1480"/>
      <c r="C6" s="1480"/>
      <c r="D6" s="1480"/>
      <c r="E6" s="1480"/>
      <c r="F6" s="1480"/>
      <c r="G6" s="1480"/>
      <c r="H6" s="1480"/>
      <c r="I6" s="1480"/>
    </row>
    <row r="7" spans="1:10">
      <c r="H7" s="1105" t="s">
        <v>1501</v>
      </c>
      <c r="I7" s="1106">
        <v>3.5000000000000003E-2</v>
      </c>
    </row>
    <row r="8" spans="1:10" ht="38.25">
      <c r="A8" s="1107" t="s">
        <v>1502</v>
      </c>
      <c r="B8" s="1107" t="s">
        <v>1503</v>
      </c>
      <c r="C8" s="1107" t="s">
        <v>1504</v>
      </c>
      <c r="D8" s="1107" t="s">
        <v>1505</v>
      </c>
      <c r="E8" s="1107" t="s">
        <v>1506</v>
      </c>
      <c r="F8" s="1107" t="s">
        <v>1006</v>
      </c>
      <c r="G8" s="1107" t="s">
        <v>1507</v>
      </c>
      <c r="H8" s="1107" t="s">
        <v>1508</v>
      </c>
      <c r="I8" s="1107" t="s">
        <v>1509</v>
      </c>
    </row>
    <row r="9" spans="1:10" ht="21.75" customHeight="1">
      <c r="A9" s="1108">
        <v>1</v>
      </c>
      <c r="B9" s="1108">
        <v>8</v>
      </c>
      <c r="C9" s="1109" t="s">
        <v>1008</v>
      </c>
      <c r="D9" s="1110">
        <v>1899517</v>
      </c>
      <c r="E9" s="1111">
        <v>82696</v>
      </c>
      <c r="F9" s="1110">
        <f t="shared" ref="F9:F28" si="0">MOD(D9*$I$7,100)</f>
        <v>83.095000000001164</v>
      </c>
      <c r="G9" s="1110">
        <f t="shared" ref="G9:G28" si="1">+D9+E9</f>
        <v>1982213</v>
      </c>
      <c r="H9" s="1108">
        <v>12</v>
      </c>
      <c r="I9" s="1110">
        <f t="shared" ref="I9:I28" si="2">G9*H9*A9</f>
        <v>23786556</v>
      </c>
    </row>
    <row r="10" spans="1:10" ht="21.75" customHeight="1">
      <c r="A10" s="1112">
        <v>1</v>
      </c>
      <c r="B10" s="1112">
        <v>8</v>
      </c>
      <c r="C10" s="1113" t="s">
        <v>1186</v>
      </c>
      <c r="D10" s="1114">
        <v>1519614</v>
      </c>
      <c r="E10" s="1111">
        <v>66157</v>
      </c>
      <c r="F10" s="1114">
        <f t="shared" si="0"/>
        <v>86.490000000005239</v>
      </c>
      <c r="G10" s="1114">
        <f t="shared" si="1"/>
        <v>1585771</v>
      </c>
      <c r="H10" s="1112">
        <v>12</v>
      </c>
      <c r="I10" s="1114">
        <f t="shared" si="2"/>
        <v>19029252</v>
      </c>
    </row>
    <row r="11" spans="1:10" ht="21.75" customHeight="1">
      <c r="A11" s="1112">
        <v>3</v>
      </c>
      <c r="B11" s="1112">
        <v>8</v>
      </c>
      <c r="C11" s="1113" t="s">
        <v>1044</v>
      </c>
      <c r="D11" s="1114">
        <v>587800</v>
      </c>
      <c r="E11" s="1111">
        <f t="shared" ref="E11:E28" si="3">IF(F11 &gt;=50,ROUNDUP(D11*$I$7,-2),ROUNDDOWN(D11*$I$7,-2))</f>
        <v>20600</v>
      </c>
      <c r="F11" s="1114">
        <f t="shared" si="0"/>
        <v>73.000000000003638</v>
      </c>
      <c r="G11" s="1114">
        <f t="shared" si="1"/>
        <v>608400</v>
      </c>
      <c r="H11" s="1112">
        <v>12</v>
      </c>
      <c r="I11" s="1114">
        <f t="shared" si="2"/>
        <v>21902400</v>
      </c>
    </row>
    <row r="12" spans="1:10" ht="21.75" customHeight="1">
      <c r="A12" s="1112">
        <v>1</v>
      </c>
      <c r="B12" s="1112">
        <v>8</v>
      </c>
      <c r="C12" s="1113" t="s">
        <v>1045</v>
      </c>
      <c r="D12" s="1114">
        <v>570900</v>
      </c>
      <c r="E12" s="1111">
        <f t="shared" si="3"/>
        <v>20000</v>
      </c>
      <c r="F12" s="1114">
        <f t="shared" si="0"/>
        <v>81.500000000003638</v>
      </c>
      <c r="G12" s="1114">
        <f t="shared" si="1"/>
        <v>590900</v>
      </c>
      <c r="H12" s="1112">
        <v>12</v>
      </c>
      <c r="I12" s="1114">
        <f t="shared" si="2"/>
        <v>7090800</v>
      </c>
    </row>
    <row r="13" spans="1:10" ht="21.75" customHeight="1">
      <c r="A13" s="1112">
        <v>21</v>
      </c>
      <c r="B13" s="1112">
        <v>8</v>
      </c>
      <c r="C13" s="1113" t="s">
        <v>1014</v>
      </c>
      <c r="D13" s="1114">
        <v>480400</v>
      </c>
      <c r="E13" s="1111">
        <f t="shared" si="3"/>
        <v>16800</v>
      </c>
      <c r="F13" s="1114">
        <f t="shared" si="0"/>
        <v>14</v>
      </c>
      <c r="G13" s="1114">
        <f t="shared" si="1"/>
        <v>497200</v>
      </c>
      <c r="H13" s="1112">
        <v>12</v>
      </c>
      <c r="I13" s="1114">
        <f t="shared" si="2"/>
        <v>125294400</v>
      </c>
    </row>
    <row r="14" spans="1:10" ht="21.75" hidden="1" customHeight="1">
      <c r="A14" s="1112"/>
      <c r="B14" s="1112">
        <v>0</v>
      </c>
      <c r="C14" s="1113" t="s">
        <v>1014</v>
      </c>
      <c r="D14" s="1114">
        <v>0</v>
      </c>
      <c r="E14" s="1111">
        <f t="shared" si="3"/>
        <v>0</v>
      </c>
      <c r="F14" s="1114">
        <f t="shared" si="0"/>
        <v>0</v>
      </c>
      <c r="G14" s="1114">
        <f t="shared" si="1"/>
        <v>0</v>
      </c>
      <c r="H14" s="1112">
        <v>0</v>
      </c>
      <c r="I14" s="1114">
        <f t="shared" si="2"/>
        <v>0</v>
      </c>
    </row>
    <row r="15" spans="1:10" ht="21.75" customHeight="1">
      <c r="A15" s="1112">
        <v>20</v>
      </c>
      <c r="B15" s="1112">
        <v>8</v>
      </c>
      <c r="C15" s="1113" t="s">
        <v>1015</v>
      </c>
      <c r="D15" s="1114">
        <v>466800</v>
      </c>
      <c r="E15" s="1111">
        <f t="shared" si="3"/>
        <v>16300</v>
      </c>
      <c r="F15" s="1114">
        <f t="shared" si="0"/>
        <v>38.000000000001819</v>
      </c>
      <c r="G15" s="1114">
        <f t="shared" si="1"/>
        <v>483100</v>
      </c>
      <c r="H15" s="1112">
        <v>12</v>
      </c>
      <c r="I15" s="1114">
        <f t="shared" si="2"/>
        <v>115944000</v>
      </c>
    </row>
    <row r="16" spans="1:10" ht="21.75" customHeight="1">
      <c r="A16" s="1112">
        <v>18</v>
      </c>
      <c r="B16" s="1112">
        <v>8</v>
      </c>
      <c r="C16" s="1113" t="s">
        <v>264</v>
      </c>
      <c r="D16" s="1114">
        <v>371600</v>
      </c>
      <c r="E16" s="1111">
        <f t="shared" si="3"/>
        <v>13000</v>
      </c>
      <c r="F16" s="1114">
        <f t="shared" si="0"/>
        <v>6.000000000001819</v>
      </c>
      <c r="G16" s="1114">
        <f t="shared" si="1"/>
        <v>384600</v>
      </c>
      <c r="H16" s="1112">
        <v>12</v>
      </c>
      <c r="I16" s="1114">
        <f t="shared" si="2"/>
        <v>83073600</v>
      </c>
    </row>
    <row r="17" spans="1:11" ht="21.75" hidden="1" customHeight="1">
      <c r="A17" s="1112"/>
      <c r="B17" s="1112">
        <v>0</v>
      </c>
      <c r="C17" s="1113" t="s">
        <v>264</v>
      </c>
      <c r="D17" s="1114">
        <v>0</v>
      </c>
      <c r="E17" s="1111">
        <f t="shared" si="3"/>
        <v>0</v>
      </c>
      <c r="F17" s="1114">
        <f t="shared" si="0"/>
        <v>0</v>
      </c>
      <c r="G17" s="1114">
        <f t="shared" si="1"/>
        <v>0</v>
      </c>
      <c r="H17" s="1112">
        <v>0</v>
      </c>
      <c r="I17" s="1114">
        <f t="shared" si="2"/>
        <v>0</v>
      </c>
    </row>
    <row r="18" spans="1:11" ht="21.75" customHeight="1">
      <c r="A18" s="1112">
        <v>44</v>
      </c>
      <c r="B18" s="1112">
        <v>8</v>
      </c>
      <c r="C18" s="1113" t="s">
        <v>1187</v>
      </c>
      <c r="D18" s="1114">
        <v>360800</v>
      </c>
      <c r="E18" s="1111">
        <f t="shared" si="3"/>
        <v>12600</v>
      </c>
      <c r="F18" s="1114">
        <f t="shared" si="0"/>
        <v>28.000000000001819</v>
      </c>
      <c r="G18" s="1114">
        <f t="shared" si="1"/>
        <v>373400</v>
      </c>
      <c r="H18" s="1112">
        <v>12</v>
      </c>
      <c r="I18" s="1114">
        <f t="shared" si="2"/>
        <v>197155200</v>
      </c>
    </row>
    <row r="19" spans="1:11" ht="21.75" hidden="1" customHeight="1">
      <c r="A19" s="1112"/>
      <c r="B19" s="1112">
        <v>0</v>
      </c>
      <c r="C19" s="1113" t="s">
        <v>1187</v>
      </c>
      <c r="D19" s="1114">
        <v>0</v>
      </c>
      <c r="E19" s="1111">
        <f t="shared" si="3"/>
        <v>0</v>
      </c>
      <c r="F19" s="1114">
        <f t="shared" si="0"/>
        <v>0</v>
      </c>
      <c r="G19" s="1114">
        <f t="shared" si="1"/>
        <v>0</v>
      </c>
      <c r="H19" s="1112">
        <v>0</v>
      </c>
      <c r="I19" s="1114">
        <f t="shared" si="2"/>
        <v>0</v>
      </c>
    </row>
    <row r="20" spans="1:11" ht="21.75" customHeight="1">
      <c r="A20" s="1112">
        <v>24</v>
      </c>
      <c r="B20" s="1112">
        <v>8</v>
      </c>
      <c r="C20" s="1113" t="s">
        <v>1188</v>
      </c>
      <c r="D20" s="1114">
        <v>350800</v>
      </c>
      <c r="E20" s="1111">
        <f t="shared" si="3"/>
        <v>12300</v>
      </c>
      <c r="F20" s="1114">
        <f t="shared" si="0"/>
        <v>78.000000000001819</v>
      </c>
      <c r="G20" s="1114">
        <f t="shared" si="1"/>
        <v>363100</v>
      </c>
      <c r="H20" s="1112">
        <v>12</v>
      </c>
      <c r="I20" s="1114">
        <f t="shared" si="2"/>
        <v>104572800</v>
      </c>
    </row>
    <row r="21" spans="1:11" ht="21.75" hidden="1" customHeight="1">
      <c r="A21" s="1112">
        <v>0</v>
      </c>
      <c r="B21" s="1112">
        <v>8</v>
      </c>
      <c r="C21" s="1113" t="s">
        <v>1189</v>
      </c>
      <c r="D21" s="1114">
        <v>0</v>
      </c>
      <c r="E21" s="1111">
        <f t="shared" si="3"/>
        <v>0</v>
      </c>
      <c r="F21" s="1114">
        <f t="shared" si="0"/>
        <v>0</v>
      </c>
      <c r="G21" s="1114">
        <f t="shared" si="1"/>
        <v>0</v>
      </c>
      <c r="H21" s="1112">
        <v>12</v>
      </c>
      <c r="I21" s="1114">
        <f t="shared" si="2"/>
        <v>0</v>
      </c>
    </row>
    <row r="22" spans="1:11" ht="21.75" customHeight="1">
      <c r="A22" s="1112">
        <v>2</v>
      </c>
      <c r="B22" s="1112">
        <v>8</v>
      </c>
      <c r="C22" s="1113" t="s">
        <v>1190</v>
      </c>
      <c r="D22" s="1114">
        <v>331300</v>
      </c>
      <c r="E22" s="1111">
        <f t="shared" si="3"/>
        <v>11600</v>
      </c>
      <c r="F22" s="1114">
        <f t="shared" si="0"/>
        <v>95.500000000001819</v>
      </c>
      <c r="G22" s="1114">
        <f t="shared" si="1"/>
        <v>342900</v>
      </c>
      <c r="H22" s="1112">
        <v>12</v>
      </c>
      <c r="I22" s="1114">
        <f t="shared" si="2"/>
        <v>8229600</v>
      </c>
    </row>
    <row r="23" spans="1:11" ht="21.75" customHeight="1">
      <c r="A23" s="1112">
        <v>9</v>
      </c>
      <c r="B23" s="1112">
        <v>8</v>
      </c>
      <c r="C23" s="1113" t="s">
        <v>1191</v>
      </c>
      <c r="D23" s="1114">
        <v>322400</v>
      </c>
      <c r="E23" s="1111">
        <f t="shared" si="3"/>
        <v>11300</v>
      </c>
      <c r="F23" s="1114">
        <f t="shared" si="0"/>
        <v>84.000000000001819</v>
      </c>
      <c r="G23" s="1114">
        <f t="shared" si="1"/>
        <v>333700</v>
      </c>
      <c r="H23" s="1112">
        <v>12</v>
      </c>
      <c r="I23" s="1114">
        <f t="shared" si="2"/>
        <v>36039600</v>
      </c>
    </row>
    <row r="24" spans="1:11" ht="21.75" customHeight="1">
      <c r="A24" s="1112">
        <v>8</v>
      </c>
      <c r="B24" s="1112">
        <v>8</v>
      </c>
      <c r="C24" s="1113" t="s">
        <v>1192</v>
      </c>
      <c r="D24" s="1114">
        <v>340900</v>
      </c>
      <c r="E24" s="1111">
        <f t="shared" si="3"/>
        <v>11900</v>
      </c>
      <c r="F24" s="1114">
        <f t="shared" si="0"/>
        <v>31.500000000001819</v>
      </c>
      <c r="G24" s="1114">
        <f t="shared" si="1"/>
        <v>352800</v>
      </c>
      <c r="H24" s="1112">
        <v>12</v>
      </c>
      <c r="I24" s="1114">
        <f t="shared" si="2"/>
        <v>33868800</v>
      </c>
    </row>
    <row r="25" spans="1:11" ht="21.75" customHeight="1">
      <c r="A25" s="1112">
        <v>21</v>
      </c>
      <c r="B25" s="1112">
        <v>8</v>
      </c>
      <c r="C25" s="1113" t="s">
        <v>1193</v>
      </c>
      <c r="D25" s="1114">
        <v>331300</v>
      </c>
      <c r="E25" s="1111">
        <f t="shared" si="3"/>
        <v>11600</v>
      </c>
      <c r="F25" s="1114">
        <f t="shared" si="0"/>
        <v>95.500000000001819</v>
      </c>
      <c r="G25" s="1114">
        <f t="shared" si="1"/>
        <v>342900</v>
      </c>
      <c r="H25" s="1112">
        <v>12</v>
      </c>
      <c r="I25" s="1114">
        <f t="shared" si="2"/>
        <v>86410800</v>
      </c>
    </row>
    <row r="26" spans="1:11" ht="21.75" customHeight="1">
      <c r="A26" s="1112">
        <v>18</v>
      </c>
      <c r="B26" s="1112">
        <v>8</v>
      </c>
      <c r="C26" s="1113" t="s">
        <v>1194</v>
      </c>
      <c r="D26" s="1114">
        <v>322400</v>
      </c>
      <c r="E26" s="1111">
        <f t="shared" si="3"/>
        <v>11300</v>
      </c>
      <c r="F26" s="1114">
        <f t="shared" si="0"/>
        <v>84.000000000001819</v>
      </c>
      <c r="G26" s="1114">
        <f t="shared" si="1"/>
        <v>333700</v>
      </c>
      <c r="H26" s="1112">
        <v>12</v>
      </c>
      <c r="I26" s="1114">
        <f t="shared" si="2"/>
        <v>72079200</v>
      </c>
    </row>
    <row r="27" spans="1:11" ht="21.75" customHeight="1">
      <c r="A27" s="1112">
        <v>48</v>
      </c>
      <c r="B27" s="1112">
        <v>8</v>
      </c>
      <c r="C27" s="1113" t="s">
        <v>1195</v>
      </c>
      <c r="D27" s="1114">
        <v>313000</v>
      </c>
      <c r="E27" s="1111">
        <f t="shared" si="3"/>
        <v>11000</v>
      </c>
      <c r="F27" s="1114">
        <f t="shared" si="0"/>
        <v>55.000000000001819</v>
      </c>
      <c r="G27" s="1114">
        <f t="shared" si="1"/>
        <v>324000</v>
      </c>
      <c r="H27" s="1112">
        <v>12</v>
      </c>
      <c r="I27" s="1114">
        <f t="shared" si="2"/>
        <v>186624000</v>
      </c>
    </row>
    <row r="28" spans="1:11" ht="21.75" customHeight="1">
      <c r="A28" s="1115">
        <v>6</v>
      </c>
      <c r="B28" s="1115">
        <v>8</v>
      </c>
      <c r="C28" s="1116" t="s">
        <v>1196</v>
      </c>
      <c r="D28" s="1117">
        <v>304500</v>
      </c>
      <c r="E28" s="1111">
        <f t="shared" si="3"/>
        <v>10700</v>
      </c>
      <c r="F28" s="1117">
        <f t="shared" si="0"/>
        <v>57.500000000001819</v>
      </c>
      <c r="G28" s="1117">
        <f t="shared" si="1"/>
        <v>315200</v>
      </c>
      <c r="H28" s="1115">
        <v>12</v>
      </c>
      <c r="I28" s="1117">
        <f t="shared" si="2"/>
        <v>22694400</v>
      </c>
    </row>
    <row r="29" spans="1:11" ht="21.75" customHeight="1">
      <c r="A29" s="1118">
        <f>SUM(A9:A28)</f>
        <v>245</v>
      </c>
      <c r="B29" s="1481" t="s">
        <v>1009</v>
      </c>
      <c r="C29" s="1482"/>
      <c r="D29" s="1483" t="s">
        <v>1010</v>
      </c>
      <c r="E29" s="1484"/>
      <c r="F29" s="1484"/>
      <c r="G29" s="1484"/>
      <c r="H29" s="1485"/>
      <c r="I29" s="1119">
        <f>SUM(I9:I28)</f>
        <v>1143795408</v>
      </c>
      <c r="J29" s="1120"/>
      <c r="K29" s="1120"/>
    </row>
    <row r="30" spans="1:11" ht="23.25" customHeight="1"/>
    <row r="31" spans="1:11" ht="32.25" customHeight="1">
      <c r="C31" s="1121" t="s">
        <v>1510</v>
      </c>
      <c r="I31" s="1122" t="s">
        <v>1509</v>
      </c>
    </row>
    <row r="32" spans="1:11" ht="21" customHeight="1">
      <c r="C32" s="1495" t="s">
        <v>1511</v>
      </c>
      <c r="D32" s="1496"/>
      <c r="E32" s="1496"/>
      <c r="F32" s="1496"/>
      <c r="G32" s="1496"/>
      <c r="H32" s="1497"/>
      <c r="I32" s="1123">
        <f>+'[13] SUELDOS FIJOS'!D40</f>
        <v>327512020</v>
      </c>
      <c r="J32" s="1120"/>
    </row>
    <row r="33" spans="1:12" ht="21" customHeight="1">
      <c r="C33" s="1495" t="s">
        <v>1512</v>
      </c>
      <c r="D33" s="1496"/>
      <c r="E33" s="1496"/>
      <c r="F33" s="1496"/>
      <c r="G33" s="1496"/>
      <c r="H33" s="1497"/>
      <c r="I33" s="1123">
        <f>+'[13] SUELDOS FIJOS'!E40</f>
        <v>160071432</v>
      </c>
      <c r="J33" s="1346"/>
      <c r="K33" s="1346"/>
      <c r="L33" s="1345"/>
    </row>
    <row r="34" spans="1:12" ht="21" customHeight="1">
      <c r="C34" s="1498" t="s">
        <v>1019</v>
      </c>
      <c r="D34" s="1499"/>
      <c r="E34" s="1499"/>
      <c r="F34" s="1499"/>
      <c r="G34" s="1499"/>
      <c r="H34" s="1500"/>
      <c r="I34" s="1124"/>
    </row>
    <row r="35" spans="1:12" ht="15.75" customHeight="1">
      <c r="C35" s="1486" t="s">
        <v>1513</v>
      </c>
      <c r="D35" s="1487"/>
      <c r="E35" s="1487"/>
      <c r="F35" s="1487"/>
      <c r="G35" s="1487"/>
      <c r="H35" s="1488"/>
      <c r="I35" s="1125">
        <f>+'[13] SUELDOS FIJOS'!F40</f>
        <v>41501844</v>
      </c>
    </row>
    <row r="36" spans="1:12" ht="21" customHeight="1">
      <c r="C36" s="1492" t="s">
        <v>1197</v>
      </c>
      <c r="D36" s="1493"/>
      <c r="E36" s="1493"/>
      <c r="F36" s="1493"/>
      <c r="G36" s="1493"/>
      <c r="H36" s="1494"/>
      <c r="I36" s="1126">
        <f>+I29+I32+I33+I34+I35</f>
        <v>1672880704</v>
      </c>
    </row>
    <row r="40" spans="1:12">
      <c r="A40" s="1163" t="s">
        <v>1515</v>
      </c>
      <c r="B40" s="1164"/>
      <c r="C40" s="1164"/>
      <c r="D40" s="1164"/>
      <c r="E40" s="1164"/>
      <c r="F40" s="1164"/>
      <c r="G40" s="1164"/>
      <c r="H40" s="1166">
        <v>41178</v>
      </c>
      <c r="I40" s="1164"/>
    </row>
    <row r="41" spans="1:12" s="777" customFormat="1" ht="15.75" customHeight="1">
      <c r="A41" s="1165" t="s">
        <v>1366</v>
      </c>
      <c r="B41" s="1165"/>
      <c r="C41" s="1165"/>
      <c r="D41" s="1165"/>
      <c r="E41" s="1165"/>
      <c r="F41" s="1165"/>
      <c r="G41" s="1165"/>
      <c r="H41" s="776" t="s">
        <v>628</v>
      </c>
      <c r="I41" s="1165"/>
    </row>
    <row r="44" spans="1:12" s="777" customFormat="1" ht="25.5" customHeight="1">
      <c r="A44" s="1489" t="s">
        <v>1012</v>
      </c>
      <c r="B44" s="1489"/>
      <c r="C44" s="1489"/>
      <c r="D44" s="1489"/>
      <c r="E44" s="1489"/>
      <c r="F44" s="1489"/>
      <c r="G44" s="1489"/>
      <c r="H44" s="1489"/>
      <c r="I44" s="1489"/>
    </row>
    <row r="45" spans="1:12" s="1130" customFormat="1" ht="11.25">
      <c r="A45" s="1127"/>
      <c r="B45" s="1128"/>
      <c r="C45" s="1128"/>
      <c r="D45" s="1128"/>
      <c r="E45" s="1128"/>
      <c r="F45" s="1128"/>
      <c r="G45" s="1128"/>
      <c r="H45" s="1129"/>
      <c r="I45" s="1128"/>
    </row>
    <row r="46" spans="1:12" s="1130" customFormat="1" ht="11.25">
      <c r="H46" s="1131"/>
    </row>
    <row r="47" spans="1:12" ht="51">
      <c r="A47" s="1107" t="s">
        <v>1211</v>
      </c>
      <c r="B47" s="1107" t="s">
        <v>1004</v>
      </c>
      <c r="C47" s="1107" t="s">
        <v>1005</v>
      </c>
      <c r="D47" s="1107" t="s">
        <v>1212</v>
      </c>
      <c r="E47" s="1107" t="s">
        <v>1213</v>
      </c>
      <c r="F47" s="1107" t="s">
        <v>1006</v>
      </c>
      <c r="G47" s="1107" t="s">
        <v>1214</v>
      </c>
      <c r="H47" s="1107" t="s">
        <v>1215</v>
      </c>
      <c r="I47" s="1107" t="s">
        <v>1216</v>
      </c>
    </row>
    <row r="48" spans="1:12" s="1130" customFormat="1" ht="21.75" customHeight="1">
      <c r="A48" s="1132">
        <v>1</v>
      </c>
      <c r="B48" s="1133">
        <v>8</v>
      </c>
      <c r="C48" s="1134" t="s">
        <v>1014</v>
      </c>
      <c r="D48" s="1135">
        <v>480400</v>
      </c>
      <c r="E48" s="1136">
        <v>16800</v>
      </c>
      <c r="F48" s="1137"/>
      <c r="G48" s="1138">
        <f t="shared" ref="G48:G58" si="4">D48+E48</f>
        <v>497200</v>
      </c>
      <c r="H48" s="1133">
        <v>12</v>
      </c>
      <c r="I48" s="1139">
        <f>G48*H48*A48</f>
        <v>5966400</v>
      </c>
    </row>
    <row r="49" spans="1:9" s="1130" customFormat="1" ht="21.75" customHeight="1">
      <c r="A49" s="1132">
        <v>1</v>
      </c>
      <c r="B49" s="1133">
        <v>8</v>
      </c>
      <c r="C49" s="1134" t="s">
        <v>1014</v>
      </c>
      <c r="D49" s="1135">
        <v>480400</v>
      </c>
      <c r="E49" s="1136">
        <v>16800</v>
      </c>
      <c r="F49" s="1137"/>
      <c r="G49" s="1138">
        <f t="shared" si="4"/>
        <v>497200</v>
      </c>
      <c r="H49" s="1133">
        <v>12</v>
      </c>
      <c r="I49" s="1139">
        <f t="shared" ref="I49:I55" si="5">+G49*H49*A49</f>
        <v>5966400</v>
      </c>
    </row>
    <row r="50" spans="1:9" s="1130" customFormat="1" ht="21.75" customHeight="1">
      <c r="A50" s="1132">
        <v>1</v>
      </c>
      <c r="B50" s="1133">
        <v>8</v>
      </c>
      <c r="C50" s="1134" t="s">
        <v>1014</v>
      </c>
      <c r="D50" s="1135">
        <v>480400</v>
      </c>
      <c r="E50" s="1136">
        <v>16800</v>
      </c>
      <c r="F50" s="1137"/>
      <c r="G50" s="1138">
        <f t="shared" si="4"/>
        <v>497200</v>
      </c>
      <c r="H50" s="1133">
        <v>12</v>
      </c>
      <c r="I50" s="1139">
        <f t="shared" si="5"/>
        <v>5966400</v>
      </c>
    </row>
    <row r="51" spans="1:9" s="1130" customFormat="1" ht="21.75" customHeight="1">
      <c r="A51" s="1132">
        <v>1</v>
      </c>
      <c r="B51" s="1133">
        <v>8</v>
      </c>
      <c r="C51" s="1134" t="s">
        <v>1014</v>
      </c>
      <c r="D51" s="1135">
        <v>480400</v>
      </c>
      <c r="E51" s="1136">
        <v>16800</v>
      </c>
      <c r="F51" s="1137"/>
      <c r="G51" s="1138">
        <f t="shared" si="4"/>
        <v>497200</v>
      </c>
      <c r="H51" s="1133">
        <v>12</v>
      </c>
      <c r="I51" s="1139">
        <f t="shared" si="5"/>
        <v>5966400</v>
      </c>
    </row>
    <row r="52" spans="1:9" s="1130" customFormat="1" ht="21.75" customHeight="1">
      <c r="A52" s="1132">
        <v>1</v>
      </c>
      <c r="B52" s="1133">
        <v>8</v>
      </c>
      <c r="C52" s="1134" t="s">
        <v>1014</v>
      </c>
      <c r="D52" s="1135">
        <v>480400</v>
      </c>
      <c r="E52" s="1136">
        <v>16800</v>
      </c>
      <c r="F52" s="1137"/>
      <c r="G52" s="1138">
        <f t="shared" si="4"/>
        <v>497200</v>
      </c>
      <c r="H52" s="1133">
        <v>12</v>
      </c>
      <c r="I52" s="1139">
        <f t="shared" si="5"/>
        <v>5966400</v>
      </c>
    </row>
    <row r="53" spans="1:9" s="1130" customFormat="1" ht="21.75" customHeight="1">
      <c r="A53" s="1132">
        <v>1</v>
      </c>
      <c r="B53" s="1133">
        <v>8</v>
      </c>
      <c r="C53" s="1134" t="s">
        <v>1015</v>
      </c>
      <c r="D53" s="1135">
        <v>466800</v>
      </c>
      <c r="E53" s="1136">
        <v>16300</v>
      </c>
      <c r="F53" s="1137"/>
      <c r="G53" s="1138">
        <f t="shared" si="4"/>
        <v>483100</v>
      </c>
      <c r="H53" s="1133">
        <v>12</v>
      </c>
      <c r="I53" s="1139">
        <f t="shared" si="5"/>
        <v>5797200</v>
      </c>
    </row>
    <row r="54" spans="1:9" s="1130" customFormat="1" ht="21.75" customHeight="1">
      <c r="A54" s="1132">
        <v>1</v>
      </c>
      <c r="B54" s="1133">
        <v>8</v>
      </c>
      <c r="C54" s="1134" t="s">
        <v>264</v>
      </c>
      <c r="D54" s="1135">
        <v>371600</v>
      </c>
      <c r="E54" s="1136">
        <v>13000</v>
      </c>
      <c r="F54" s="1137"/>
      <c r="G54" s="1138">
        <f t="shared" si="4"/>
        <v>384600</v>
      </c>
      <c r="H54" s="1133">
        <v>12</v>
      </c>
      <c r="I54" s="1139">
        <f t="shared" si="5"/>
        <v>4615200</v>
      </c>
    </row>
    <row r="55" spans="1:9" s="1130" customFormat="1" ht="21.75" customHeight="1">
      <c r="A55" s="1132">
        <v>1</v>
      </c>
      <c r="B55" s="1133">
        <v>8</v>
      </c>
      <c r="C55" s="1134" t="s">
        <v>264</v>
      </c>
      <c r="D55" s="1135">
        <v>371600</v>
      </c>
      <c r="E55" s="1136">
        <v>13000</v>
      </c>
      <c r="F55" s="1137"/>
      <c r="G55" s="1138">
        <f t="shared" si="4"/>
        <v>384600</v>
      </c>
      <c r="H55" s="1133">
        <v>12</v>
      </c>
      <c r="I55" s="1139">
        <f t="shared" si="5"/>
        <v>4615200</v>
      </c>
    </row>
    <row r="56" spans="1:9" s="1130" customFormat="1" ht="21.75" customHeight="1">
      <c r="A56" s="1132">
        <v>1</v>
      </c>
      <c r="B56" s="1133">
        <v>8</v>
      </c>
      <c r="C56" s="1134" t="s">
        <v>1188</v>
      </c>
      <c r="D56" s="1135">
        <v>350800</v>
      </c>
      <c r="E56" s="1136">
        <v>12300</v>
      </c>
      <c r="F56" s="1137"/>
      <c r="G56" s="1138">
        <f t="shared" si="4"/>
        <v>363100</v>
      </c>
      <c r="H56" s="1133">
        <v>12</v>
      </c>
      <c r="I56" s="1139">
        <f t="shared" ref="I56:I61" si="6">G56*H56*A56</f>
        <v>4357200</v>
      </c>
    </row>
    <row r="57" spans="1:9" s="1130" customFormat="1" ht="21.75" hidden="1" customHeight="1">
      <c r="A57" s="1132">
        <v>0</v>
      </c>
      <c r="B57" s="1133">
        <v>8</v>
      </c>
      <c r="C57" s="1134" t="s">
        <v>1188</v>
      </c>
      <c r="D57" s="1135">
        <v>331100</v>
      </c>
      <c r="E57" s="1136">
        <v>13200</v>
      </c>
      <c r="F57" s="1137"/>
      <c r="G57" s="1138">
        <f t="shared" si="4"/>
        <v>344300</v>
      </c>
      <c r="H57" s="1133">
        <v>12</v>
      </c>
      <c r="I57" s="1139">
        <f t="shared" si="6"/>
        <v>0</v>
      </c>
    </row>
    <row r="58" spans="1:9" s="1130" customFormat="1" ht="21.75" hidden="1" customHeight="1">
      <c r="A58" s="1132">
        <v>0</v>
      </c>
      <c r="B58" s="1133">
        <v>8</v>
      </c>
      <c r="C58" s="1134" t="s">
        <v>1188</v>
      </c>
      <c r="D58" s="1135">
        <v>0</v>
      </c>
      <c r="E58" s="1136">
        <v>0</v>
      </c>
      <c r="F58" s="1137"/>
      <c r="G58" s="1138">
        <f t="shared" si="4"/>
        <v>0</v>
      </c>
      <c r="H58" s="1133">
        <v>0</v>
      </c>
      <c r="I58" s="1139">
        <f t="shared" si="6"/>
        <v>0</v>
      </c>
    </row>
    <row r="59" spans="1:9" s="1130" customFormat="1" ht="21.75" hidden="1" customHeight="1">
      <c r="A59" s="1132">
        <v>0</v>
      </c>
      <c r="B59" s="1133">
        <v>8</v>
      </c>
      <c r="C59" s="1134" t="s">
        <v>1151</v>
      </c>
      <c r="D59" s="1135">
        <v>0</v>
      </c>
      <c r="E59" s="1136">
        <v>0</v>
      </c>
      <c r="F59" s="1137"/>
      <c r="G59" s="1138">
        <v>0</v>
      </c>
      <c r="H59" s="1133">
        <v>0</v>
      </c>
      <c r="I59" s="1139">
        <f t="shared" si="6"/>
        <v>0</v>
      </c>
    </row>
    <row r="60" spans="1:9" s="1130" customFormat="1" ht="21.75" hidden="1" customHeight="1">
      <c r="A60" s="1132">
        <v>0</v>
      </c>
      <c r="B60" s="1133">
        <v>0</v>
      </c>
      <c r="C60" s="1134" t="s">
        <v>1022</v>
      </c>
      <c r="D60" s="1135">
        <v>0</v>
      </c>
      <c r="E60" s="1136">
        <v>0</v>
      </c>
      <c r="F60" s="1137"/>
      <c r="G60" s="1138">
        <f>D60+E60</f>
        <v>0</v>
      </c>
      <c r="H60" s="1133">
        <v>0</v>
      </c>
      <c r="I60" s="1139">
        <f t="shared" si="6"/>
        <v>0</v>
      </c>
    </row>
    <row r="61" spans="1:9" s="1130" customFormat="1" ht="21.75" hidden="1" customHeight="1">
      <c r="A61" s="1132">
        <v>0</v>
      </c>
      <c r="B61" s="1133">
        <v>0</v>
      </c>
      <c r="C61" s="1134" t="s">
        <v>1022</v>
      </c>
      <c r="D61" s="1135">
        <v>0</v>
      </c>
      <c r="E61" s="1136">
        <v>0</v>
      </c>
      <c r="F61" s="1137"/>
      <c r="G61" s="1138">
        <f>D61+E61</f>
        <v>0</v>
      </c>
      <c r="H61" s="1133">
        <v>0</v>
      </c>
      <c r="I61" s="1139">
        <f t="shared" si="6"/>
        <v>0</v>
      </c>
    </row>
    <row r="62" spans="1:9" s="1130" customFormat="1" ht="11.25">
      <c r="A62" s="1140"/>
      <c r="B62" s="1141"/>
      <c r="C62" s="1140"/>
      <c r="D62" s="1141"/>
      <c r="E62" s="1140"/>
      <c r="F62" s="1140"/>
      <c r="G62" s="1142"/>
      <c r="H62" s="1143"/>
      <c r="I62" s="1142"/>
    </row>
    <row r="63" spans="1:9" s="1148" customFormat="1" ht="27" customHeight="1">
      <c r="A63" s="1144">
        <f>SUM(A48:A62)</f>
        <v>9</v>
      </c>
      <c r="B63" s="1145"/>
      <c r="C63" s="1146"/>
      <c r="D63" s="1490" t="s">
        <v>1016</v>
      </c>
      <c r="E63" s="1490"/>
      <c r="F63" s="1490"/>
      <c r="G63" s="1490"/>
      <c r="H63" s="1491"/>
      <c r="I63" s="1147">
        <f>SUM(I48:I62)</f>
        <v>49216800</v>
      </c>
    </row>
    <row r="64" spans="1:9" s="1130" customFormat="1" ht="23.25" customHeight="1" thickBot="1">
      <c r="H64" s="1131"/>
      <c r="I64" s="1149"/>
    </row>
    <row r="65" spans="1:9" s="1130" customFormat="1" ht="21.75" thickBot="1">
      <c r="A65" s="1150"/>
      <c r="C65" s="1121" t="s">
        <v>1510</v>
      </c>
      <c r="H65" s="1131"/>
      <c r="I65" s="1151" t="s">
        <v>1198</v>
      </c>
    </row>
    <row r="66" spans="1:9" s="1130" customFormat="1" ht="22.5" customHeight="1">
      <c r="C66" s="1152" t="s">
        <v>1017</v>
      </c>
      <c r="D66" s="1153"/>
      <c r="E66" s="1153"/>
      <c r="F66" s="1153"/>
      <c r="G66" s="1153"/>
      <c r="H66" s="1154"/>
      <c r="I66" s="1155"/>
    </row>
    <row r="67" spans="1:9" s="1130" customFormat="1" ht="22.5" customHeight="1">
      <c r="C67" s="1152" t="s">
        <v>1018</v>
      </c>
      <c r="D67" s="1156"/>
      <c r="E67" s="1156"/>
      <c r="F67" s="1156"/>
      <c r="G67" s="1156"/>
      <c r="H67" s="1157"/>
      <c r="I67" s="1158">
        <f>(I51+I52)*55%+(I53*20%)</f>
        <v>7722480.0000000009</v>
      </c>
    </row>
    <row r="68" spans="1:9" s="1130" customFormat="1" ht="22.5" customHeight="1">
      <c r="C68" s="1152" t="s">
        <v>1019</v>
      </c>
      <c r="D68" s="1159"/>
      <c r="E68" s="1159"/>
      <c r="F68" s="1159"/>
      <c r="G68" s="1159"/>
      <c r="H68" s="1154"/>
      <c r="I68" s="1160"/>
    </row>
    <row r="69" spans="1:9" s="1130" customFormat="1" ht="22.5" customHeight="1">
      <c r="C69" s="1161" t="s">
        <v>40</v>
      </c>
      <c r="D69" s="1153"/>
      <c r="E69" s="1153"/>
      <c r="F69" s="1153"/>
      <c r="G69" s="1153"/>
      <c r="H69" s="1154"/>
      <c r="I69" s="1162">
        <f>SUM(I66:I68)+I63</f>
        <v>56939280</v>
      </c>
    </row>
    <row r="70" spans="1:9" s="1130" customFormat="1" ht="11.25">
      <c r="H70" s="1131"/>
    </row>
    <row r="71" spans="1:9" s="1130" customFormat="1" ht="11.25">
      <c r="H71" s="1131"/>
    </row>
    <row r="72" spans="1:9" s="1130" customFormat="1" ht="11.25">
      <c r="H72" s="1131"/>
    </row>
    <row r="73" spans="1:9" s="1130" customFormat="1" ht="11.25">
      <c r="H73" s="1131"/>
    </row>
    <row r="74" spans="1:9" s="1130" customFormat="1" ht="11.25">
      <c r="H74" s="1131"/>
    </row>
    <row r="75" spans="1:9">
      <c r="A75" s="1163" t="s">
        <v>1515</v>
      </c>
      <c r="B75" s="1164"/>
      <c r="C75" s="1164"/>
      <c r="D75" s="1164"/>
      <c r="E75" s="1164"/>
      <c r="F75" s="1164"/>
      <c r="G75" s="1164"/>
      <c r="H75" s="1166">
        <v>41140</v>
      </c>
      <c r="I75" s="1164"/>
    </row>
    <row r="76" spans="1:9" s="777" customFormat="1" ht="15.75" customHeight="1">
      <c r="A76" s="1165" t="s">
        <v>1366</v>
      </c>
      <c r="B76" s="1165"/>
      <c r="C76" s="1165"/>
      <c r="D76" s="1165"/>
      <c r="E76" s="1165"/>
      <c r="F76" s="1165"/>
      <c r="G76" s="1165"/>
      <c r="H76" s="776" t="s">
        <v>1514</v>
      </c>
      <c r="I76" s="1165"/>
    </row>
    <row r="77" spans="1:9" s="777" customFormat="1">
      <c r="H77" s="776"/>
    </row>
  </sheetData>
  <sheetProtection password="AC08" sheet="1"/>
  <mergeCells count="12">
    <mergeCell ref="A44:I44"/>
    <mergeCell ref="D63:H63"/>
    <mergeCell ref="C36:H36"/>
    <mergeCell ref="C32:H32"/>
    <mergeCell ref="C33:H33"/>
    <mergeCell ref="C34:H34"/>
    <mergeCell ref="A3:I3"/>
    <mergeCell ref="A4:I4"/>
    <mergeCell ref="A6:I6"/>
    <mergeCell ref="B29:C29"/>
    <mergeCell ref="D29:H29"/>
    <mergeCell ref="C35:H35"/>
  </mergeCells>
  <printOptions horizontalCentered="1"/>
  <pageMargins left="0.74803149606299213" right="0.27559055118110237" top="0.19685039370078741" bottom="0.78740157480314965" header="0.19685039370078741" footer="0.39370078740157483"/>
  <pageSetup scale="83" fitToHeight="2" orientation="portrait" horizontalDpi="300" verticalDpi="300" r:id="rId1"/>
  <headerFooter alignWithMargins="0">
    <oddFooter>&amp;C&amp;"Times New Roman,Negrita"&amp;13Pág. &amp;P</oddFooter>
  </headerFooter>
  <rowBreaks count="1" manualBreakCount="1">
    <brk id="42"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0CB86-D99E-4835-8325-0AB82197EEDC}">
  <sheetPr codeName="Hoja23"/>
  <dimension ref="A1:IV57"/>
  <sheetViews>
    <sheetView showGridLines="0" workbookViewId="0">
      <selection activeCell="H1" sqref="H1:K65536"/>
    </sheetView>
  </sheetViews>
  <sheetFormatPr defaultColWidth="11" defaultRowHeight="12.75"/>
  <cols>
    <col min="1" max="1" width="29" style="779" customWidth="1"/>
    <col min="2" max="2" width="15.625" style="779" customWidth="1"/>
    <col min="3" max="3" width="12.375" style="779" customWidth="1"/>
    <col min="4" max="4" width="5.25" style="779" customWidth="1"/>
    <col min="5" max="5" width="12.25" style="779" customWidth="1"/>
    <col min="6" max="6" width="7.375" style="780" customWidth="1"/>
    <col min="7" max="7" width="17" style="781" customWidth="1"/>
    <col min="8" max="8" width="8" style="782" hidden="1" customWidth="1"/>
    <col min="9" max="9" width="28.125" style="782" hidden="1" customWidth="1"/>
    <col min="10" max="10" width="17" style="782" hidden="1" customWidth="1"/>
    <col min="11" max="11" width="0" style="782" hidden="1" customWidth="1"/>
    <col min="12" max="49" width="11" style="782"/>
    <col min="50" max="16384" width="11" style="779"/>
  </cols>
  <sheetData>
    <row r="1" spans="1:256" s="1353" customFormat="1" ht="28.5" thickBot="1">
      <c r="A1" s="1347" t="str">
        <f>+'[11]RELACION CONTRA '!A1</f>
        <v>Municipalidad de Pérez Zeledón</v>
      </c>
      <c r="B1" s="1351"/>
      <c r="C1" s="1351"/>
      <c r="D1" s="1351"/>
      <c r="E1" s="1351"/>
      <c r="F1" s="1351"/>
      <c r="G1" s="1349" t="s">
        <v>1331</v>
      </c>
      <c r="H1" s="1357" t="s">
        <v>621</v>
      </c>
      <c r="I1" s="1352"/>
      <c r="J1" s="1352"/>
      <c r="K1" s="1352"/>
      <c r="L1" s="1352"/>
      <c r="M1" s="1352"/>
      <c r="N1" s="1352"/>
      <c r="O1" s="1352"/>
      <c r="P1" s="1352"/>
      <c r="Q1" s="1352"/>
      <c r="R1" s="1352"/>
      <c r="S1" s="1352"/>
      <c r="T1" s="1352"/>
      <c r="U1" s="1352"/>
      <c r="V1" s="1352"/>
      <c r="W1" s="1352"/>
      <c r="X1" s="1352"/>
      <c r="Y1" s="1352"/>
      <c r="Z1" s="1352"/>
      <c r="AA1" s="1352"/>
      <c r="AB1" s="1352"/>
      <c r="AC1" s="1352"/>
      <c r="AD1" s="1352"/>
      <c r="AE1" s="1352"/>
      <c r="AF1" s="1352"/>
      <c r="AG1" s="1352"/>
      <c r="AH1" s="1352"/>
      <c r="AI1" s="1352"/>
      <c r="AJ1" s="1352"/>
      <c r="AK1" s="1352"/>
      <c r="AL1" s="1352"/>
      <c r="AM1" s="1352"/>
      <c r="AN1" s="1352"/>
      <c r="AO1" s="1352"/>
      <c r="AP1" s="1352"/>
      <c r="AQ1" s="1352"/>
      <c r="AR1" s="1352"/>
      <c r="AS1" s="1352"/>
      <c r="AT1" s="1352"/>
      <c r="AU1" s="1352"/>
      <c r="AV1" s="1352"/>
      <c r="AW1" s="1352"/>
    </row>
    <row r="2" spans="1:256" ht="14.25" customHeight="1">
      <c r="B2" s="1167"/>
      <c r="C2" s="1167"/>
      <c r="D2" s="1167"/>
      <c r="E2" s="1167"/>
      <c r="F2" s="1167"/>
      <c r="G2" s="1167"/>
    </row>
    <row r="3" spans="1:256" s="1171" customFormat="1" ht="20.25" customHeight="1">
      <c r="A3" s="1501" t="s">
        <v>1052</v>
      </c>
      <c r="B3" s="1501"/>
      <c r="C3" s="1501"/>
      <c r="D3" s="1501"/>
      <c r="E3" s="1501"/>
      <c r="F3" s="1501"/>
      <c r="G3" s="1501"/>
      <c r="H3" s="1168"/>
      <c r="I3" s="1168"/>
      <c r="J3" s="1169"/>
      <c r="K3" s="1170"/>
      <c r="L3" s="1170"/>
      <c r="M3" s="1169"/>
      <c r="N3" s="1169"/>
      <c r="O3" s="1169"/>
      <c r="P3" s="1169"/>
      <c r="Q3" s="1169"/>
      <c r="R3" s="1169"/>
      <c r="S3" s="1169"/>
      <c r="T3" s="1169"/>
      <c r="U3" s="1169"/>
      <c r="V3" s="1169"/>
      <c r="W3" s="1169"/>
      <c r="X3" s="1169"/>
      <c r="Y3" s="1169"/>
      <c r="Z3" s="1169"/>
      <c r="AA3" s="1169"/>
      <c r="AB3" s="1169"/>
      <c r="AC3" s="1169"/>
      <c r="AD3" s="1169"/>
      <c r="AE3" s="1169"/>
      <c r="AF3" s="1169"/>
      <c r="AG3" s="1169"/>
      <c r="AH3" s="1169"/>
      <c r="AI3" s="1169"/>
      <c r="AJ3" s="1169"/>
      <c r="AK3" s="1169"/>
      <c r="AL3" s="1169"/>
      <c r="AM3" s="1169"/>
      <c r="AN3" s="1169"/>
      <c r="AO3" s="1169"/>
      <c r="AP3" s="1169"/>
      <c r="AQ3" s="1169"/>
      <c r="AR3" s="1169"/>
      <c r="AS3" s="1169"/>
      <c r="AT3" s="1169"/>
      <c r="AU3" s="1169"/>
      <c r="AV3" s="1169"/>
      <c r="AW3" s="1169"/>
    </row>
    <row r="4" spans="1:256" s="1172" customFormat="1" ht="9.75" customHeight="1">
      <c r="F4" s="1173"/>
      <c r="G4" s="1174"/>
      <c r="H4" s="1175"/>
      <c r="I4" s="1175"/>
      <c r="J4" s="1175"/>
      <c r="K4" s="1175"/>
      <c r="L4" s="1175"/>
      <c r="M4" s="1175"/>
      <c r="N4" s="1175"/>
      <c r="O4" s="1175"/>
      <c r="P4" s="1175"/>
      <c r="Q4" s="1175"/>
      <c r="R4" s="1175"/>
      <c r="S4" s="1175"/>
      <c r="T4" s="1175"/>
      <c r="U4" s="1175"/>
      <c r="V4" s="1175"/>
      <c r="W4" s="1175"/>
      <c r="X4" s="1175"/>
      <c r="Y4" s="1175"/>
      <c r="Z4" s="1175"/>
      <c r="AA4" s="1175"/>
      <c r="AB4" s="1175"/>
      <c r="AC4" s="1175"/>
      <c r="AD4" s="1175"/>
      <c r="AE4" s="1175"/>
      <c r="AF4" s="1175"/>
      <c r="AG4" s="1175"/>
      <c r="AH4" s="1175"/>
      <c r="AI4" s="1175"/>
      <c r="AJ4" s="1175"/>
      <c r="AK4" s="1175"/>
      <c r="AL4" s="1175"/>
      <c r="AM4" s="1175"/>
      <c r="AN4" s="1175"/>
      <c r="AO4" s="1175"/>
      <c r="AP4" s="1175"/>
      <c r="AQ4" s="1175"/>
      <c r="AR4" s="1175"/>
      <c r="AS4" s="1175"/>
      <c r="AT4" s="1175"/>
      <c r="AU4" s="1175"/>
      <c r="AV4" s="1175"/>
      <c r="AW4" s="1175"/>
    </row>
    <row r="5" spans="1:256" s="1172" customFormat="1" ht="24" customHeight="1">
      <c r="A5" s="1502" t="s">
        <v>1007</v>
      </c>
      <c r="B5" s="1502"/>
      <c r="C5" s="1502"/>
      <c r="D5" s="1502"/>
      <c r="E5" s="1502"/>
      <c r="F5" s="1502"/>
      <c r="G5" s="1502"/>
      <c r="H5" s="1175"/>
      <c r="I5" s="1175"/>
      <c r="J5" s="1175"/>
      <c r="K5" s="1175"/>
      <c r="L5" s="1175"/>
      <c r="M5" s="1175"/>
      <c r="N5" s="1175"/>
      <c r="O5" s="1175"/>
      <c r="P5" s="1175"/>
      <c r="Q5" s="1175"/>
      <c r="R5" s="1175"/>
      <c r="S5" s="1175"/>
      <c r="T5" s="1175"/>
      <c r="U5" s="1175"/>
      <c r="V5" s="1175"/>
      <c r="W5" s="1175"/>
      <c r="X5" s="1175"/>
      <c r="Y5" s="1175"/>
      <c r="Z5" s="1175"/>
      <c r="AA5" s="1175"/>
      <c r="AB5" s="1175"/>
      <c r="AC5" s="1175"/>
      <c r="AD5" s="1175"/>
      <c r="AE5" s="1175"/>
      <c r="AF5" s="1175"/>
      <c r="AG5" s="1175"/>
      <c r="AH5" s="1175"/>
      <c r="AI5" s="1175"/>
      <c r="AJ5" s="1175"/>
      <c r="AK5" s="1175"/>
      <c r="AL5" s="1175"/>
      <c r="AM5" s="1175"/>
      <c r="AN5" s="1175"/>
      <c r="AO5" s="1175"/>
      <c r="AP5" s="1175"/>
      <c r="AQ5" s="1175"/>
      <c r="AR5" s="1175"/>
      <c r="AS5" s="1175"/>
      <c r="AT5" s="1175"/>
      <c r="AU5" s="1175"/>
      <c r="AV5" s="1175"/>
      <c r="AW5" s="1175"/>
    </row>
    <row r="6" spans="1:256" ht="9" customHeight="1">
      <c r="A6" s="1176"/>
      <c r="B6" s="1176"/>
      <c r="C6" s="1176"/>
      <c r="D6" s="1176"/>
      <c r="E6" s="1176"/>
      <c r="F6" s="1176"/>
      <c r="G6" s="1177"/>
    </row>
    <row r="7" spans="1:256" ht="7.5" customHeight="1" thickBot="1">
      <c r="A7" s="1178"/>
      <c r="B7" s="1178"/>
      <c r="C7" s="1178"/>
      <c r="D7" s="1178"/>
      <c r="E7" s="1178"/>
      <c r="F7" s="1179"/>
      <c r="G7" s="1180"/>
      <c r="I7" s="1181" t="s">
        <v>1148</v>
      </c>
    </row>
    <row r="8" spans="1:256" s="1189" customFormat="1" ht="25.5">
      <c r="A8" s="1182" t="s">
        <v>1040</v>
      </c>
      <c r="B8" s="1183" t="s">
        <v>1516</v>
      </c>
      <c r="C8" s="1184" t="s">
        <v>1517</v>
      </c>
      <c r="D8" s="1184" t="s">
        <v>62</v>
      </c>
      <c r="E8" s="1184" t="s">
        <v>1518</v>
      </c>
      <c r="F8" s="1185" t="s">
        <v>1519</v>
      </c>
      <c r="G8" s="1186" t="s">
        <v>1123</v>
      </c>
      <c r="H8" s="1187"/>
      <c r="I8" s="1188" t="s">
        <v>1149</v>
      </c>
      <c r="J8" s="1187"/>
      <c r="K8" s="1187"/>
      <c r="L8" s="1187"/>
      <c r="M8" s="1187"/>
      <c r="N8" s="1187"/>
      <c r="O8" s="1187"/>
      <c r="P8" s="1187"/>
      <c r="Q8" s="1187"/>
      <c r="R8" s="1187"/>
      <c r="S8" s="1187"/>
      <c r="T8" s="1187"/>
      <c r="U8" s="1187"/>
      <c r="V8" s="1187"/>
      <c r="W8" s="1187"/>
      <c r="X8" s="1187"/>
      <c r="Y8" s="1187"/>
      <c r="Z8" s="1187"/>
      <c r="AA8" s="1187"/>
      <c r="AB8" s="1187"/>
      <c r="AC8" s="1187"/>
      <c r="AD8" s="1187"/>
      <c r="AE8" s="1187"/>
      <c r="AF8" s="1187"/>
      <c r="AG8" s="1187"/>
      <c r="AH8" s="1187"/>
      <c r="AI8" s="1187"/>
      <c r="AJ8" s="1187"/>
      <c r="AK8" s="1187"/>
      <c r="AL8" s="1187"/>
      <c r="AM8" s="1187"/>
      <c r="AN8" s="1187"/>
      <c r="AO8" s="1187"/>
      <c r="AP8" s="1187"/>
      <c r="AQ8" s="1187"/>
      <c r="AR8" s="1187"/>
      <c r="AS8" s="1187"/>
      <c r="AT8" s="1187"/>
      <c r="AU8" s="1187"/>
      <c r="AV8" s="1187"/>
      <c r="AW8" s="1187"/>
    </row>
    <row r="9" spans="1:256" s="1197" customFormat="1" ht="22.5" customHeight="1">
      <c r="A9" s="1190" t="s">
        <v>1042</v>
      </c>
      <c r="B9" s="1191"/>
      <c r="C9" s="1192"/>
      <c r="D9" s="1193"/>
      <c r="E9" s="1194"/>
      <c r="F9" s="1195"/>
      <c r="G9" s="1196"/>
      <c r="H9" s="782"/>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2"/>
      <c r="AL9" s="782"/>
      <c r="AM9" s="782"/>
      <c r="AN9" s="782"/>
      <c r="AO9" s="782"/>
      <c r="AP9" s="782"/>
      <c r="AQ9" s="782"/>
      <c r="AR9" s="782"/>
      <c r="AS9" s="782"/>
      <c r="AT9" s="782"/>
      <c r="AU9" s="782"/>
      <c r="AV9" s="782"/>
      <c r="AW9" s="782"/>
    </row>
    <row r="10" spans="1:256" s="1197" customFormat="1">
      <c r="A10" s="1198" t="s">
        <v>1043</v>
      </c>
      <c r="B10" s="1199"/>
      <c r="C10" s="1200"/>
      <c r="D10" s="1201"/>
      <c r="E10" s="1202"/>
      <c r="F10" s="1203"/>
      <c r="G10" s="1204">
        <f>SUM(G11:G32)</f>
        <v>94155492</v>
      </c>
      <c r="H10" s="782"/>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2"/>
      <c r="AL10" s="782"/>
      <c r="AM10" s="782"/>
      <c r="AN10" s="782"/>
      <c r="AO10" s="782"/>
      <c r="AP10" s="782"/>
      <c r="AQ10" s="782"/>
      <c r="AR10" s="782"/>
      <c r="AS10" s="782"/>
      <c r="AT10" s="782"/>
      <c r="AU10" s="782"/>
      <c r="AV10" s="782"/>
      <c r="AW10" s="782"/>
    </row>
    <row r="11" spans="1:256" ht="18.95" customHeight="1">
      <c r="A11" s="1205" t="s">
        <v>1520</v>
      </c>
      <c r="B11" s="1205" t="s">
        <v>1008</v>
      </c>
      <c r="C11" s="1206">
        <v>1982213</v>
      </c>
      <c r="D11" s="1201">
        <v>65</v>
      </c>
      <c r="E11" s="1202">
        <v>1288439</v>
      </c>
      <c r="F11" s="1203">
        <v>12</v>
      </c>
      <c r="G11" s="1207">
        <f t="shared" ref="G11:G32" si="0">E11*F11</f>
        <v>15461268</v>
      </c>
      <c r="H11" s="1181"/>
    </row>
    <row r="12" spans="1:256" s="782" customFormat="1" ht="18.95" customHeight="1">
      <c r="A12" s="1205" t="s">
        <v>266</v>
      </c>
      <c r="B12" s="1205" t="s">
        <v>1015</v>
      </c>
      <c r="C12" s="1206">
        <v>483100</v>
      </c>
      <c r="D12" s="1201">
        <v>45</v>
      </c>
      <c r="E12" s="1202">
        <f t="shared" ref="E12:E19" si="1">C12*D12%</f>
        <v>217395</v>
      </c>
      <c r="F12" s="1208">
        <v>12</v>
      </c>
      <c r="G12" s="1207">
        <f t="shared" si="0"/>
        <v>2608740</v>
      </c>
      <c r="AX12" s="779"/>
      <c r="AY12" s="779"/>
      <c r="AZ12" s="779"/>
      <c r="BA12" s="779"/>
      <c r="BB12" s="779"/>
      <c r="BC12" s="779"/>
      <c r="BD12" s="779"/>
      <c r="BE12" s="779"/>
      <c r="BF12" s="779"/>
      <c r="BG12" s="779"/>
      <c r="BH12" s="779"/>
      <c r="BI12" s="779"/>
      <c r="BJ12" s="779"/>
      <c r="BK12" s="779"/>
      <c r="BL12" s="779"/>
      <c r="BM12" s="779"/>
      <c r="BN12" s="779"/>
      <c r="BO12" s="779"/>
      <c r="BP12" s="779"/>
      <c r="BQ12" s="779"/>
      <c r="BR12" s="779"/>
      <c r="BS12" s="779"/>
      <c r="BT12" s="779"/>
      <c r="BU12" s="779"/>
      <c r="BV12" s="779"/>
      <c r="BW12" s="779"/>
      <c r="BX12" s="779"/>
      <c r="BY12" s="779"/>
      <c r="BZ12" s="779"/>
      <c r="CA12" s="779"/>
      <c r="CB12" s="779"/>
      <c r="CC12" s="779"/>
      <c r="CD12" s="779"/>
      <c r="CE12" s="779"/>
      <c r="CF12" s="779"/>
      <c r="CG12" s="779"/>
      <c r="CH12" s="779"/>
      <c r="CI12" s="779"/>
      <c r="CJ12" s="779"/>
      <c r="CK12" s="779"/>
      <c r="CL12" s="779"/>
      <c r="CM12" s="779"/>
      <c r="CN12" s="779"/>
      <c r="CO12" s="779"/>
      <c r="CP12" s="779"/>
      <c r="CQ12" s="779"/>
      <c r="CR12" s="779"/>
      <c r="CS12" s="779"/>
      <c r="CT12" s="779"/>
      <c r="CU12" s="779"/>
      <c r="CV12" s="779"/>
      <c r="CW12" s="779"/>
      <c r="CX12" s="779"/>
      <c r="CY12" s="779"/>
      <c r="CZ12" s="779"/>
      <c r="DA12" s="779"/>
      <c r="DB12" s="779"/>
      <c r="DC12" s="779"/>
      <c r="DD12" s="779"/>
      <c r="DE12" s="779"/>
      <c r="DF12" s="779"/>
      <c r="DG12" s="779"/>
      <c r="DH12" s="779"/>
      <c r="DI12" s="779"/>
      <c r="DJ12" s="779"/>
      <c r="DK12" s="779"/>
      <c r="DL12" s="779"/>
      <c r="DM12" s="779"/>
      <c r="DN12" s="779"/>
      <c r="DO12" s="779"/>
      <c r="DP12" s="779"/>
      <c r="DQ12" s="779"/>
      <c r="DR12" s="779"/>
      <c r="DS12" s="779"/>
      <c r="DT12" s="779"/>
      <c r="DU12" s="779"/>
      <c r="DV12" s="779"/>
      <c r="DW12" s="779"/>
      <c r="DX12" s="779"/>
      <c r="DY12" s="779"/>
      <c r="DZ12" s="779"/>
      <c r="EA12" s="779"/>
      <c r="EB12" s="779"/>
      <c r="EC12" s="779"/>
      <c r="ED12" s="779"/>
      <c r="EE12" s="779"/>
      <c r="EF12" s="779"/>
      <c r="EG12" s="779"/>
      <c r="EH12" s="779"/>
      <c r="EI12" s="779"/>
      <c r="EJ12" s="779"/>
      <c r="EK12" s="779"/>
      <c r="EL12" s="779"/>
      <c r="EM12" s="779"/>
      <c r="EN12" s="779"/>
      <c r="EO12" s="779"/>
      <c r="EP12" s="779"/>
      <c r="EQ12" s="779"/>
      <c r="ER12" s="779"/>
      <c r="ES12" s="779"/>
      <c r="ET12" s="779"/>
      <c r="EU12" s="779"/>
      <c r="EV12" s="779"/>
      <c r="EW12" s="779"/>
      <c r="EX12" s="779"/>
      <c r="EY12" s="779"/>
      <c r="EZ12" s="779"/>
      <c r="FA12" s="779"/>
      <c r="FB12" s="779"/>
      <c r="FC12" s="779"/>
      <c r="FD12" s="779"/>
      <c r="FE12" s="779"/>
      <c r="FF12" s="779"/>
      <c r="FG12" s="779"/>
      <c r="FH12" s="779"/>
      <c r="FI12" s="779"/>
      <c r="FJ12" s="779"/>
      <c r="FK12" s="779"/>
      <c r="FL12" s="779"/>
      <c r="FM12" s="779"/>
      <c r="FN12" s="779"/>
      <c r="FO12" s="779"/>
      <c r="FP12" s="779"/>
      <c r="FQ12" s="779"/>
      <c r="FR12" s="779"/>
      <c r="FS12" s="779"/>
      <c r="FT12" s="779"/>
      <c r="FU12" s="779"/>
      <c r="FV12" s="779"/>
      <c r="FW12" s="779"/>
      <c r="FX12" s="779"/>
      <c r="FY12" s="779"/>
      <c r="FZ12" s="779"/>
      <c r="GA12" s="779"/>
      <c r="GB12" s="779"/>
      <c r="GC12" s="779"/>
      <c r="GD12" s="779"/>
      <c r="GE12" s="779"/>
      <c r="GF12" s="779"/>
      <c r="GG12" s="779"/>
      <c r="GH12" s="779"/>
      <c r="GI12" s="779"/>
      <c r="GJ12" s="779"/>
      <c r="GK12" s="779"/>
      <c r="GL12" s="779"/>
      <c r="GM12" s="779"/>
      <c r="GN12" s="779"/>
      <c r="GO12" s="779"/>
      <c r="GP12" s="779"/>
      <c r="GQ12" s="779"/>
      <c r="GR12" s="779"/>
      <c r="GS12" s="779"/>
      <c r="GT12" s="779"/>
      <c r="GU12" s="779"/>
      <c r="GV12" s="779"/>
      <c r="GW12" s="779"/>
      <c r="GX12" s="779"/>
      <c r="GY12" s="779"/>
      <c r="GZ12" s="779"/>
      <c r="HA12" s="779"/>
      <c r="HB12" s="779"/>
      <c r="HC12" s="779"/>
      <c r="HD12" s="779"/>
      <c r="HE12" s="779"/>
      <c r="HF12" s="779"/>
      <c r="HG12" s="779"/>
      <c r="HH12" s="779"/>
      <c r="HI12" s="779"/>
      <c r="HJ12" s="779"/>
      <c r="HK12" s="779"/>
      <c r="HL12" s="779"/>
      <c r="HM12" s="779"/>
      <c r="HN12" s="779"/>
      <c r="HO12" s="779"/>
      <c r="HP12" s="779"/>
      <c r="HQ12" s="779"/>
      <c r="HR12" s="779"/>
      <c r="HS12" s="779"/>
      <c r="HT12" s="779"/>
      <c r="HU12" s="779"/>
      <c r="HV12" s="779"/>
      <c r="HW12" s="779"/>
      <c r="HX12" s="779"/>
      <c r="HY12" s="779"/>
      <c r="HZ12" s="779"/>
      <c r="IA12" s="779"/>
      <c r="IB12" s="779"/>
      <c r="IC12" s="779"/>
      <c r="ID12" s="779"/>
      <c r="IE12" s="779"/>
      <c r="IF12" s="779"/>
      <c r="IG12" s="779"/>
      <c r="IH12" s="779"/>
      <c r="II12" s="779"/>
      <c r="IJ12" s="779"/>
      <c r="IK12" s="779"/>
      <c r="IL12" s="779"/>
      <c r="IM12" s="779"/>
      <c r="IN12" s="779"/>
      <c r="IO12" s="779"/>
      <c r="IP12" s="779"/>
      <c r="IQ12" s="779"/>
      <c r="IR12" s="779"/>
      <c r="IS12" s="779"/>
      <c r="IT12" s="779"/>
      <c r="IU12" s="779"/>
      <c r="IV12" s="779"/>
    </row>
    <row r="13" spans="1:256" s="782" customFormat="1" ht="18.95" customHeight="1">
      <c r="A13" s="1205" t="s">
        <v>1521</v>
      </c>
      <c r="B13" s="1205" t="s">
        <v>1045</v>
      </c>
      <c r="C13" s="1206">
        <v>590900</v>
      </c>
      <c r="D13" s="1201">
        <v>65</v>
      </c>
      <c r="E13" s="1202">
        <f t="shared" si="1"/>
        <v>384085</v>
      </c>
      <c r="F13" s="1203">
        <v>12</v>
      </c>
      <c r="G13" s="1207">
        <f t="shared" si="0"/>
        <v>4609020</v>
      </c>
      <c r="H13" s="1181"/>
      <c r="AX13" s="779"/>
      <c r="AY13" s="779"/>
      <c r="AZ13" s="779"/>
      <c r="BA13" s="779"/>
      <c r="BB13" s="779"/>
      <c r="BC13" s="779"/>
      <c r="BD13" s="779"/>
      <c r="BE13" s="779"/>
      <c r="BF13" s="779"/>
      <c r="BG13" s="779"/>
      <c r="BH13" s="779"/>
      <c r="BI13" s="779"/>
      <c r="BJ13" s="779"/>
      <c r="BK13" s="779"/>
      <c r="BL13" s="779"/>
      <c r="BM13" s="779"/>
      <c r="BN13" s="779"/>
      <c r="BO13" s="779"/>
      <c r="BP13" s="779"/>
      <c r="BQ13" s="779"/>
      <c r="BR13" s="779"/>
      <c r="BS13" s="779"/>
      <c r="BT13" s="779"/>
      <c r="BU13" s="779"/>
      <c r="BV13" s="779"/>
      <c r="BW13" s="779"/>
      <c r="BX13" s="779"/>
      <c r="BY13" s="779"/>
      <c r="BZ13" s="779"/>
      <c r="CA13" s="779"/>
      <c r="CB13" s="779"/>
      <c r="CC13" s="779"/>
      <c r="CD13" s="779"/>
      <c r="CE13" s="779"/>
      <c r="CF13" s="779"/>
      <c r="CG13" s="779"/>
      <c r="CH13" s="779"/>
      <c r="CI13" s="779"/>
      <c r="CJ13" s="779"/>
      <c r="CK13" s="779"/>
      <c r="CL13" s="779"/>
      <c r="CM13" s="779"/>
      <c r="CN13" s="779"/>
      <c r="CO13" s="779"/>
      <c r="CP13" s="779"/>
      <c r="CQ13" s="779"/>
      <c r="CR13" s="779"/>
      <c r="CS13" s="779"/>
      <c r="CT13" s="779"/>
      <c r="CU13" s="779"/>
      <c r="CV13" s="779"/>
      <c r="CW13" s="779"/>
      <c r="CX13" s="779"/>
      <c r="CY13" s="779"/>
      <c r="CZ13" s="779"/>
      <c r="DA13" s="779"/>
      <c r="DB13" s="779"/>
      <c r="DC13" s="779"/>
      <c r="DD13" s="779"/>
      <c r="DE13" s="779"/>
      <c r="DF13" s="779"/>
      <c r="DG13" s="779"/>
      <c r="DH13" s="779"/>
      <c r="DI13" s="779"/>
      <c r="DJ13" s="779"/>
      <c r="DK13" s="779"/>
      <c r="DL13" s="779"/>
      <c r="DM13" s="779"/>
      <c r="DN13" s="779"/>
      <c r="DO13" s="779"/>
      <c r="DP13" s="779"/>
      <c r="DQ13" s="779"/>
      <c r="DR13" s="779"/>
      <c r="DS13" s="779"/>
      <c r="DT13" s="779"/>
      <c r="DU13" s="779"/>
      <c r="DV13" s="779"/>
      <c r="DW13" s="779"/>
      <c r="DX13" s="779"/>
      <c r="DY13" s="779"/>
      <c r="DZ13" s="779"/>
      <c r="EA13" s="779"/>
      <c r="EB13" s="779"/>
      <c r="EC13" s="779"/>
      <c r="ED13" s="779"/>
      <c r="EE13" s="779"/>
      <c r="EF13" s="779"/>
      <c r="EG13" s="779"/>
      <c r="EH13" s="779"/>
      <c r="EI13" s="779"/>
      <c r="EJ13" s="779"/>
      <c r="EK13" s="779"/>
      <c r="EL13" s="779"/>
      <c r="EM13" s="779"/>
      <c r="EN13" s="779"/>
      <c r="EO13" s="779"/>
      <c r="EP13" s="779"/>
      <c r="EQ13" s="779"/>
      <c r="ER13" s="779"/>
      <c r="ES13" s="779"/>
      <c r="ET13" s="779"/>
      <c r="EU13" s="779"/>
      <c r="EV13" s="779"/>
      <c r="EW13" s="779"/>
      <c r="EX13" s="779"/>
      <c r="EY13" s="779"/>
      <c r="EZ13" s="779"/>
      <c r="FA13" s="779"/>
      <c r="FB13" s="779"/>
      <c r="FC13" s="779"/>
      <c r="FD13" s="779"/>
      <c r="FE13" s="779"/>
      <c r="FF13" s="779"/>
      <c r="FG13" s="779"/>
      <c r="FH13" s="779"/>
      <c r="FI13" s="779"/>
      <c r="FJ13" s="779"/>
      <c r="FK13" s="779"/>
      <c r="FL13" s="779"/>
      <c r="FM13" s="779"/>
      <c r="FN13" s="779"/>
      <c r="FO13" s="779"/>
      <c r="FP13" s="779"/>
      <c r="FQ13" s="779"/>
      <c r="FR13" s="779"/>
      <c r="FS13" s="779"/>
      <c r="FT13" s="779"/>
      <c r="FU13" s="779"/>
      <c r="FV13" s="779"/>
      <c r="FW13" s="779"/>
      <c r="FX13" s="779"/>
      <c r="FY13" s="779"/>
      <c r="FZ13" s="779"/>
      <c r="GA13" s="779"/>
      <c r="GB13" s="779"/>
      <c r="GC13" s="779"/>
      <c r="GD13" s="779"/>
      <c r="GE13" s="779"/>
      <c r="GF13" s="779"/>
      <c r="GG13" s="779"/>
      <c r="GH13" s="779"/>
      <c r="GI13" s="779"/>
      <c r="GJ13" s="779"/>
      <c r="GK13" s="779"/>
      <c r="GL13" s="779"/>
      <c r="GM13" s="779"/>
      <c r="GN13" s="779"/>
      <c r="GO13" s="779"/>
      <c r="GP13" s="779"/>
      <c r="GQ13" s="779"/>
      <c r="GR13" s="779"/>
      <c r="GS13" s="779"/>
      <c r="GT13" s="779"/>
      <c r="GU13" s="779"/>
      <c r="GV13" s="779"/>
      <c r="GW13" s="779"/>
      <c r="GX13" s="779"/>
      <c r="GY13" s="779"/>
      <c r="GZ13" s="779"/>
      <c r="HA13" s="779"/>
      <c r="HB13" s="779"/>
      <c r="HC13" s="779"/>
      <c r="HD13" s="779"/>
      <c r="HE13" s="779"/>
      <c r="HF13" s="779"/>
      <c r="HG13" s="779"/>
      <c r="HH13" s="779"/>
      <c r="HI13" s="779"/>
      <c r="HJ13" s="779"/>
      <c r="HK13" s="779"/>
      <c r="HL13" s="779"/>
      <c r="HM13" s="779"/>
      <c r="HN13" s="779"/>
      <c r="HO13" s="779"/>
      <c r="HP13" s="779"/>
      <c r="HQ13" s="779"/>
      <c r="HR13" s="779"/>
      <c r="HS13" s="779"/>
      <c r="HT13" s="779"/>
      <c r="HU13" s="779"/>
      <c r="HV13" s="779"/>
      <c r="HW13" s="779"/>
      <c r="HX13" s="779"/>
      <c r="HY13" s="779"/>
      <c r="HZ13" s="779"/>
      <c r="IA13" s="779"/>
      <c r="IB13" s="779"/>
      <c r="IC13" s="779"/>
      <c r="ID13" s="779"/>
      <c r="IE13" s="779"/>
      <c r="IF13" s="779"/>
      <c r="IG13" s="779"/>
      <c r="IH13" s="779"/>
      <c r="II13" s="779"/>
      <c r="IJ13" s="779"/>
      <c r="IK13" s="779"/>
      <c r="IL13" s="779"/>
      <c r="IM13" s="779"/>
      <c r="IN13" s="779"/>
      <c r="IO13" s="779"/>
      <c r="IP13" s="779"/>
      <c r="IQ13" s="779"/>
      <c r="IR13" s="779"/>
      <c r="IS13" s="779"/>
      <c r="IT13" s="779"/>
      <c r="IU13" s="779"/>
      <c r="IV13" s="779"/>
    </row>
    <row r="14" spans="1:256" s="782" customFormat="1" ht="18.95" customHeight="1">
      <c r="A14" s="1205" t="s">
        <v>1522</v>
      </c>
      <c r="B14" s="1205" t="s">
        <v>1014</v>
      </c>
      <c r="C14" s="1206">
        <v>497200</v>
      </c>
      <c r="D14" s="1201">
        <v>65</v>
      </c>
      <c r="E14" s="1202">
        <f t="shared" si="1"/>
        <v>323180</v>
      </c>
      <c r="F14" s="1203">
        <v>12</v>
      </c>
      <c r="G14" s="1207">
        <f t="shared" si="0"/>
        <v>3878160</v>
      </c>
      <c r="AX14" s="779"/>
      <c r="AY14" s="779"/>
      <c r="AZ14" s="779"/>
      <c r="BA14" s="779"/>
      <c r="BB14" s="779"/>
      <c r="BC14" s="779"/>
      <c r="BD14" s="779"/>
      <c r="BE14" s="779"/>
      <c r="BF14" s="779"/>
      <c r="BG14" s="779"/>
      <c r="BH14" s="779"/>
      <c r="BI14" s="779"/>
      <c r="BJ14" s="779"/>
      <c r="BK14" s="779"/>
      <c r="BL14" s="779"/>
      <c r="BM14" s="779"/>
      <c r="BN14" s="779"/>
      <c r="BO14" s="779"/>
      <c r="BP14" s="779"/>
      <c r="BQ14" s="779"/>
      <c r="BR14" s="779"/>
      <c r="BS14" s="779"/>
      <c r="BT14" s="779"/>
      <c r="BU14" s="779"/>
      <c r="BV14" s="779"/>
      <c r="BW14" s="779"/>
      <c r="BX14" s="779"/>
      <c r="BY14" s="779"/>
      <c r="BZ14" s="779"/>
      <c r="CA14" s="779"/>
      <c r="CB14" s="779"/>
      <c r="CC14" s="779"/>
      <c r="CD14" s="779"/>
      <c r="CE14" s="779"/>
      <c r="CF14" s="779"/>
      <c r="CG14" s="779"/>
      <c r="CH14" s="779"/>
      <c r="CI14" s="779"/>
      <c r="CJ14" s="779"/>
      <c r="CK14" s="779"/>
      <c r="CL14" s="779"/>
      <c r="CM14" s="779"/>
      <c r="CN14" s="779"/>
      <c r="CO14" s="779"/>
      <c r="CP14" s="779"/>
      <c r="CQ14" s="779"/>
      <c r="CR14" s="779"/>
      <c r="CS14" s="779"/>
      <c r="CT14" s="779"/>
      <c r="CU14" s="779"/>
      <c r="CV14" s="779"/>
      <c r="CW14" s="779"/>
      <c r="CX14" s="779"/>
      <c r="CY14" s="779"/>
      <c r="CZ14" s="779"/>
      <c r="DA14" s="779"/>
      <c r="DB14" s="779"/>
      <c r="DC14" s="779"/>
      <c r="DD14" s="779"/>
      <c r="DE14" s="779"/>
      <c r="DF14" s="779"/>
      <c r="DG14" s="779"/>
      <c r="DH14" s="779"/>
      <c r="DI14" s="779"/>
      <c r="DJ14" s="779"/>
      <c r="DK14" s="779"/>
      <c r="DL14" s="779"/>
      <c r="DM14" s="779"/>
      <c r="DN14" s="779"/>
      <c r="DO14" s="779"/>
      <c r="DP14" s="779"/>
      <c r="DQ14" s="779"/>
      <c r="DR14" s="779"/>
      <c r="DS14" s="779"/>
      <c r="DT14" s="779"/>
      <c r="DU14" s="779"/>
      <c r="DV14" s="779"/>
      <c r="DW14" s="779"/>
      <c r="DX14" s="779"/>
      <c r="DY14" s="779"/>
      <c r="DZ14" s="779"/>
      <c r="EA14" s="779"/>
      <c r="EB14" s="779"/>
      <c r="EC14" s="779"/>
      <c r="ED14" s="779"/>
      <c r="EE14" s="779"/>
      <c r="EF14" s="779"/>
      <c r="EG14" s="779"/>
      <c r="EH14" s="779"/>
      <c r="EI14" s="779"/>
      <c r="EJ14" s="779"/>
      <c r="EK14" s="779"/>
      <c r="EL14" s="779"/>
      <c r="EM14" s="779"/>
      <c r="EN14" s="779"/>
      <c r="EO14" s="779"/>
      <c r="EP14" s="779"/>
      <c r="EQ14" s="779"/>
      <c r="ER14" s="779"/>
      <c r="ES14" s="779"/>
      <c r="ET14" s="779"/>
      <c r="EU14" s="779"/>
      <c r="EV14" s="779"/>
      <c r="EW14" s="779"/>
      <c r="EX14" s="779"/>
      <c r="EY14" s="779"/>
      <c r="EZ14" s="779"/>
      <c r="FA14" s="779"/>
      <c r="FB14" s="779"/>
      <c r="FC14" s="779"/>
      <c r="FD14" s="779"/>
      <c r="FE14" s="779"/>
      <c r="FF14" s="779"/>
      <c r="FG14" s="779"/>
      <c r="FH14" s="779"/>
      <c r="FI14" s="779"/>
      <c r="FJ14" s="779"/>
      <c r="FK14" s="779"/>
      <c r="FL14" s="779"/>
      <c r="FM14" s="779"/>
      <c r="FN14" s="779"/>
      <c r="FO14" s="779"/>
      <c r="FP14" s="779"/>
      <c r="FQ14" s="779"/>
      <c r="FR14" s="779"/>
      <c r="FS14" s="779"/>
      <c r="FT14" s="779"/>
      <c r="FU14" s="779"/>
      <c r="FV14" s="779"/>
      <c r="FW14" s="779"/>
      <c r="FX14" s="779"/>
      <c r="FY14" s="779"/>
      <c r="FZ14" s="779"/>
      <c r="GA14" s="779"/>
      <c r="GB14" s="779"/>
      <c r="GC14" s="779"/>
      <c r="GD14" s="779"/>
      <c r="GE14" s="779"/>
      <c r="GF14" s="779"/>
      <c r="GG14" s="779"/>
      <c r="GH14" s="779"/>
      <c r="GI14" s="779"/>
      <c r="GJ14" s="779"/>
      <c r="GK14" s="779"/>
      <c r="GL14" s="779"/>
      <c r="GM14" s="779"/>
      <c r="GN14" s="779"/>
      <c r="GO14" s="779"/>
      <c r="GP14" s="779"/>
      <c r="GQ14" s="779"/>
      <c r="GR14" s="779"/>
      <c r="GS14" s="779"/>
      <c r="GT14" s="779"/>
      <c r="GU14" s="779"/>
      <c r="GV14" s="779"/>
      <c r="GW14" s="779"/>
      <c r="GX14" s="779"/>
      <c r="GY14" s="779"/>
      <c r="GZ14" s="779"/>
      <c r="HA14" s="779"/>
      <c r="HB14" s="779"/>
      <c r="HC14" s="779"/>
      <c r="HD14" s="779"/>
      <c r="HE14" s="779"/>
      <c r="HF14" s="779"/>
      <c r="HG14" s="779"/>
      <c r="HH14" s="779"/>
      <c r="HI14" s="779"/>
      <c r="HJ14" s="779"/>
      <c r="HK14" s="779"/>
      <c r="HL14" s="779"/>
      <c r="HM14" s="779"/>
      <c r="HN14" s="779"/>
      <c r="HO14" s="779"/>
      <c r="HP14" s="779"/>
      <c r="HQ14" s="779"/>
      <c r="HR14" s="779"/>
      <c r="HS14" s="779"/>
      <c r="HT14" s="779"/>
      <c r="HU14" s="779"/>
      <c r="HV14" s="779"/>
      <c r="HW14" s="779"/>
      <c r="HX14" s="779"/>
      <c r="HY14" s="779"/>
      <c r="HZ14" s="779"/>
      <c r="IA14" s="779"/>
      <c r="IB14" s="779"/>
      <c r="IC14" s="779"/>
      <c r="ID14" s="779"/>
      <c r="IE14" s="779"/>
      <c r="IF14" s="779"/>
      <c r="IG14" s="779"/>
      <c r="IH14" s="779"/>
      <c r="II14" s="779"/>
      <c r="IJ14" s="779"/>
      <c r="IK14" s="779"/>
      <c r="IL14" s="779"/>
      <c r="IM14" s="779"/>
      <c r="IN14" s="779"/>
      <c r="IO14" s="779"/>
      <c r="IP14" s="779"/>
      <c r="IQ14" s="779"/>
      <c r="IR14" s="779"/>
      <c r="IS14" s="779"/>
      <c r="IT14" s="779"/>
      <c r="IU14" s="779"/>
      <c r="IV14" s="779"/>
    </row>
    <row r="15" spans="1:256" s="782" customFormat="1" ht="18.95" customHeight="1">
      <c r="A15" s="1205" t="s">
        <v>1523</v>
      </c>
      <c r="B15" s="1205" t="s">
        <v>1014</v>
      </c>
      <c r="C15" s="1206">
        <v>497200</v>
      </c>
      <c r="D15" s="1201">
        <v>65</v>
      </c>
      <c r="E15" s="1202">
        <f t="shared" si="1"/>
        <v>323180</v>
      </c>
      <c r="F15" s="1203">
        <v>12</v>
      </c>
      <c r="G15" s="1207">
        <f t="shared" si="0"/>
        <v>3878160</v>
      </c>
      <c r="AX15" s="779"/>
      <c r="AY15" s="779"/>
      <c r="AZ15" s="779"/>
      <c r="BA15" s="779"/>
      <c r="BB15" s="779"/>
      <c r="BC15" s="779"/>
      <c r="BD15" s="779"/>
      <c r="BE15" s="779"/>
      <c r="BF15" s="779"/>
      <c r="BG15" s="779"/>
      <c r="BH15" s="779"/>
      <c r="BI15" s="779"/>
      <c r="BJ15" s="779"/>
      <c r="BK15" s="779"/>
      <c r="BL15" s="779"/>
      <c r="BM15" s="779"/>
      <c r="BN15" s="779"/>
      <c r="BO15" s="779"/>
      <c r="BP15" s="779"/>
      <c r="BQ15" s="779"/>
      <c r="BR15" s="779"/>
      <c r="BS15" s="779"/>
      <c r="BT15" s="779"/>
      <c r="BU15" s="779"/>
      <c r="BV15" s="779"/>
      <c r="BW15" s="779"/>
      <c r="BX15" s="779"/>
      <c r="BY15" s="779"/>
      <c r="BZ15" s="779"/>
      <c r="CA15" s="779"/>
      <c r="CB15" s="779"/>
      <c r="CC15" s="779"/>
      <c r="CD15" s="779"/>
      <c r="CE15" s="779"/>
      <c r="CF15" s="779"/>
      <c r="CG15" s="779"/>
      <c r="CH15" s="779"/>
      <c r="CI15" s="779"/>
      <c r="CJ15" s="779"/>
      <c r="CK15" s="779"/>
      <c r="CL15" s="779"/>
      <c r="CM15" s="779"/>
      <c r="CN15" s="779"/>
      <c r="CO15" s="779"/>
      <c r="CP15" s="779"/>
      <c r="CQ15" s="779"/>
      <c r="CR15" s="779"/>
      <c r="CS15" s="779"/>
      <c r="CT15" s="779"/>
      <c r="CU15" s="779"/>
      <c r="CV15" s="779"/>
      <c r="CW15" s="779"/>
      <c r="CX15" s="779"/>
      <c r="CY15" s="779"/>
      <c r="CZ15" s="779"/>
      <c r="DA15" s="779"/>
      <c r="DB15" s="779"/>
      <c r="DC15" s="779"/>
      <c r="DD15" s="779"/>
      <c r="DE15" s="779"/>
      <c r="DF15" s="779"/>
      <c r="DG15" s="779"/>
      <c r="DH15" s="779"/>
      <c r="DI15" s="779"/>
      <c r="DJ15" s="779"/>
      <c r="DK15" s="779"/>
      <c r="DL15" s="779"/>
      <c r="DM15" s="779"/>
      <c r="DN15" s="779"/>
      <c r="DO15" s="779"/>
      <c r="DP15" s="779"/>
      <c r="DQ15" s="779"/>
      <c r="DR15" s="779"/>
      <c r="DS15" s="779"/>
      <c r="DT15" s="779"/>
      <c r="DU15" s="779"/>
      <c r="DV15" s="779"/>
      <c r="DW15" s="779"/>
      <c r="DX15" s="779"/>
      <c r="DY15" s="779"/>
      <c r="DZ15" s="779"/>
      <c r="EA15" s="779"/>
      <c r="EB15" s="779"/>
      <c r="EC15" s="779"/>
      <c r="ED15" s="779"/>
      <c r="EE15" s="779"/>
      <c r="EF15" s="779"/>
      <c r="EG15" s="779"/>
      <c r="EH15" s="779"/>
      <c r="EI15" s="779"/>
      <c r="EJ15" s="779"/>
      <c r="EK15" s="779"/>
      <c r="EL15" s="779"/>
      <c r="EM15" s="779"/>
      <c r="EN15" s="779"/>
      <c r="EO15" s="779"/>
      <c r="EP15" s="779"/>
      <c r="EQ15" s="779"/>
      <c r="ER15" s="779"/>
      <c r="ES15" s="779"/>
      <c r="ET15" s="779"/>
      <c r="EU15" s="779"/>
      <c r="EV15" s="779"/>
      <c r="EW15" s="779"/>
      <c r="EX15" s="779"/>
      <c r="EY15" s="779"/>
      <c r="EZ15" s="779"/>
      <c r="FA15" s="779"/>
      <c r="FB15" s="779"/>
      <c r="FC15" s="779"/>
      <c r="FD15" s="779"/>
      <c r="FE15" s="779"/>
      <c r="FF15" s="779"/>
      <c r="FG15" s="779"/>
      <c r="FH15" s="779"/>
      <c r="FI15" s="779"/>
      <c r="FJ15" s="779"/>
      <c r="FK15" s="779"/>
      <c r="FL15" s="779"/>
      <c r="FM15" s="779"/>
      <c r="FN15" s="779"/>
      <c r="FO15" s="779"/>
      <c r="FP15" s="779"/>
      <c r="FQ15" s="779"/>
      <c r="FR15" s="779"/>
      <c r="FS15" s="779"/>
      <c r="FT15" s="779"/>
      <c r="FU15" s="779"/>
      <c r="FV15" s="779"/>
      <c r="FW15" s="779"/>
      <c r="FX15" s="779"/>
      <c r="FY15" s="779"/>
      <c r="FZ15" s="779"/>
      <c r="GA15" s="779"/>
      <c r="GB15" s="779"/>
      <c r="GC15" s="779"/>
      <c r="GD15" s="779"/>
      <c r="GE15" s="779"/>
      <c r="GF15" s="779"/>
      <c r="GG15" s="779"/>
      <c r="GH15" s="779"/>
      <c r="GI15" s="779"/>
      <c r="GJ15" s="779"/>
      <c r="GK15" s="779"/>
      <c r="GL15" s="779"/>
      <c r="GM15" s="779"/>
      <c r="GN15" s="779"/>
      <c r="GO15" s="779"/>
      <c r="GP15" s="779"/>
      <c r="GQ15" s="779"/>
      <c r="GR15" s="779"/>
      <c r="GS15" s="779"/>
      <c r="GT15" s="779"/>
      <c r="GU15" s="779"/>
      <c r="GV15" s="779"/>
      <c r="GW15" s="779"/>
      <c r="GX15" s="779"/>
      <c r="GY15" s="779"/>
      <c r="GZ15" s="779"/>
      <c r="HA15" s="779"/>
      <c r="HB15" s="779"/>
      <c r="HC15" s="779"/>
      <c r="HD15" s="779"/>
      <c r="HE15" s="779"/>
      <c r="HF15" s="779"/>
      <c r="HG15" s="779"/>
      <c r="HH15" s="779"/>
      <c r="HI15" s="779"/>
      <c r="HJ15" s="779"/>
      <c r="HK15" s="779"/>
      <c r="HL15" s="779"/>
      <c r="HM15" s="779"/>
      <c r="HN15" s="779"/>
      <c r="HO15" s="779"/>
      <c r="HP15" s="779"/>
      <c r="HQ15" s="779"/>
      <c r="HR15" s="779"/>
      <c r="HS15" s="779"/>
      <c r="HT15" s="779"/>
      <c r="HU15" s="779"/>
      <c r="HV15" s="779"/>
      <c r="HW15" s="779"/>
      <c r="HX15" s="779"/>
      <c r="HY15" s="779"/>
      <c r="HZ15" s="779"/>
      <c r="IA15" s="779"/>
      <c r="IB15" s="779"/>
      <c r="IC15" s="779"/>
      <c r="ID15" s="779"/>
      <c r="IE15" s="779"/>
      <c r="IF15" s="779"/>
      <c r="IG15" s="779"/>
      <c r="IH15" s="779"/>
      <c r="II15" s="779"/>
      <c r="IJ15" s="779"/>
      <c r="IK15" s="779"/>
      <c r="IL15" s="779"/>
      <c r="IM15" s="779"/>
      <c r="IN15" s="779"/>
      <c r="IO15" s="779"/>
      <c r="IP15" s="779"/>
      <c r="IQ15" s="779"/>
      <c r="IR15" s="779"/>
      <c r="IS15" s="779"/>
      <c r="IT15" s="779"/>
      <c r="IU15" s="779"/>
      <c r="IV15" s="779"/>
    </row>
    <row r="16" spans="1:256" ht="18.95" customHeight="1">
      <c r="A16" s="1205" t="s">
        <v>263</v>
      </c>
      <c r="B16" s="1205" t="s">
        <v>264</v>
      </c>
      <c r="C16" s="1206">
        <v>384600</v>
      </c>
      <c r="D16" s="1201">
        <v>65</v>
      </c>
      <c r="E16" s="1202">
        <f t="shared" si="1"/>
        <v>249990</v>
      </c>
      <c r="F16" s="1203">
        <v>12</v>
      </c>
      <c r="G16" s="1207">
        <f t="shared" si="0"/>
        <v>2999880</v>
      </c>
    </row>
    <row r="17" spans="1:256" ht="18.95" customHeight="1">
      <c r="A17" s="1205" t="s">
        <v>263</v>
      </c>
      <c r="B17" s="1205" t="s">
        <v>264</v>
      </c>
      <c r="C17" s="1206">
        <v>384600</v>
      </c>
      <c r="D17" s="1201">
        <v>65</v>
      </c>
      <c r="E17" s="1202">
        <f t="shared" si="1"/>
        <v>249990</v>
      </c>
      <c r="F17" s="1203">
        <v>12</v>
      </c>
      <c r="G17" s="1207">
        <f t="shared" si="0"/>
        <v>2999880</v>
      </c>
    </row>
    <row r="18" spans="1:256" ht="18.95" customHeight="1">
      <c r="A18" s="1205" t="s">
        <v>263</v>
      </c>
      <c r="B18" s="1205" t="s">
        <v>1187</v>
      </c>
      <c r="C18" s="1206">
        <v>373400</v>
      </c>
      <c r="D18" s="1201">
        <v>65</v>
      </c>
      <c r="E18" s="1202">
        <f t="shared" si="1"/>
        <v>242710</v>
      </c>
      <c r="F18" s="1203">
        <v>12</v>
      </c>
      <c r="G18" s="1207">
        <f t="shared" si="0"/>
        <v>2912520</v>
      </c>
    </row>
    <row r="19" spans="1:256" s="782" customFormat="1" ht="18.95" customHeight="1">
      <c r="A19" s="1205" t="s">
        <v>1322</v>
      </c>
      <c r="B19" s="1205" t="s">
        <v>1524</v>
      </c>
      <c r="C19" s="1202">
        <v>363100</v>
      </c>
      <c r="D19" s="1201">
        <v>65</v>
      </c>
      <c r="E19" s="1202">
        <f t="shared" si="1"/>
        <v>236015</v>
      </c>
      <c r="F19" s="1203">
        <v>12</v>
      </c>
      <c r="G19" s="1207">
        <f t="shared" si="0"/>
        <v>2832180</v>
      </c>
      <c r="AX19" s="779"/>
      <c r="AY19" s="779"/>
      <c r="AZ19" s="779"/>
      <c r="BA19" s="779"/>
      <c r="BB19" s="779"/>
      <c r="BC19" s="779"/>
      <c r="BD19" s="779"/>
      <c r="BE19" s="779"/>
      <c r="BF19" s="779"/>
      <c r="BG19" s="779"/>
      <c r="BH19" s="779"/>
      <c r="BI19" s="779"/>
      <c r="BJ19" s="779"/>
      <c r="BK19" s="779"/>
      <c r="BL19" s="779"/>
      <c r="BM19" s="779"/>
      <c r="BN19" s="779"/>
      <c r="BO19" s="779"/>
      <c r="BP19" s="779"/>
      <c r="BQ19" s="779"/>
      <c r="BR19" s="779"/>
      <c r="BS19" s="779"/>
      <c r="BT19" s="779"/>
      <c r="BU19" s="779"/>
      <c r="BV19" s="779"/>
      <c r="BW19" s="779"/>
      <c r="BX19" s="779"/>
      <c r="BY19" s="779"/>
      <c r="BZ19" s="779"/>
      <c r="CA19" s="779"/>
      <c r="CB19" s="779"/>
      <c r="CC19" s="779"/>
      <c r="CD19" s="779"/>
      <c r="CE19" s="779"/>
      <c r="CF19" s="779"/>
      <c r="CG19" s="779"/>
      <c r="CH19" s="779"/>
      <c r="CI19" s="779"/>
      <c r="CJ19" s="779"/>
      <c r="CK19" s="779"/>
      <c r="CL19" s="779"/>
      <c r="CM19" s="779"/>
      <c r="CN19" s="779"/>
      <c r="CO19" s="779"/>
      <c r="CP19" s="779"/>
      <c r="CQ19" s="779"/>
      <c r="CR19" s="779"/>
      <c r="CS19" s="779"/>
      <c r="CT19" s="779"/>
      <c r="CU19" s="779"/>
      <c r="CV19" s="779"/>
      <c r="CW19" s="779"/>
      <c r="CX19" s="779"/>
      <c r="CY19" s="779"/>
      <c r="CZ19" s="779"/>
      <c r="DA19" s="779"/>
      <c r="DB19" s="779"/>
      <c r="DC19" s="779"/>
      <c r="DD19" s="779"/>
      <c r="DE19" s="779"/>
      <c r="DF19" s="779"/>
      <c r="DG19" s="779"/>
      <c r="DH19" s="779"/>
      <c r="DI19" s="779"/>
      <c r="DJ19" s="779"/>
      <c r="DK19" s="779"/>
      <c r="DL19" s="779"/>
      <c r="DM19" s="779"/>
      <c r="DN19" s="779"/>
      <c r="DO19" s="779"/>
      <c r="DP19" s="779"/>
      <c r="DQ19" s="779"/>
      <c r="DR19" s="779"/>
      <c r="DS19" s="779"/>
      <c r="DT19" s="779"/>
      <c r="DU19" s="779"/>
      <c r="DV19" s="779"/>
      <c r="DW19" s="779"/>
      <c r="DX19" s="779"/>
      <c r="DY19" s="779"/>
      <c r="DZ19" s="779"/>
      <c r="EA19" s="779"/>
      <c r="EB19" s="779"/>
      <c r="EC19" s="779"/>
      <c r="ED19" s="779"/>
      <c r="EE19" s="779"/>
      <c r="EF19" s="779"/>
      <c r="EG19" s="779"/>
      <c r="EH19" s="779"/>
      <c r="EI19" s="779"/>
      <c r="EJ19" s="779"/>
      <c r="EK19" s="779"/>
      <c r="EL19" s="779"/>
      <c r="EM19" s="779"/>
      <c r="EN19" s="779"/>
      <c r="EO19" s="779"/>
      <c r="EP19" s="779"/>
      <c r="EQ19" s="779"/>
      <c r="ER19" s="779"/>
      <c r="ES19" s="779"/>
      <c r="ET19" s="779"/>
      <c r="EU19" s="779"/>
      <c r="EV19" s="779"/>
      <c r="EW19" s="779"/>
      <c r="EX19" s="779"/>
      <c r="EY19" s="779"/>
      <c r="EZ19" s="779"/>
      <c r="FA19" s="779"/>
      <c r="FB19" s="779"/>
      <c r="FC19" s="779"/>
      <c r="FD19" s="779"/>
      <c r="FE19" s="779"/>
      <c r="FF19" s="779"/>
      <c r="FG19" s="779"/>
      <c r="FH19" s="779"/>
      <c r="FI19" s="779"/>
      <c r="FJ19" s="779"/>
      <c r="FK19" s="779"/>
      <c r="FL19" s="779"/>
      <c r="FM19" s="779"/>
      <c r="FN19" s="779"/>
      <c r="FO19" s="779"/>
      <c r="FP19" s="779"/>
      <c r="FQ19" s="779"/>
      <c r="FR19" s="779"/>
      <c r="FS19" s="779"/>
      <c r="FT19" s="779"/>
      <c r="FU19" s="779"/>
      <c r="FV19" s="779"/>
      <c r="FW19" s="779"/>
      <c r="FX19" s="779"/>
      <c r="FY19" s="779"/>
      <c r="FZ19" s="779"/>
      <c r="GA19" s="779"/>
      <c r="GB19" s="779"/>
      <c r="GC19" s="779"/>
      <c r="GD19" s="779"/>
      <c r="GE19" s="779"/>
      <c r="GF19" s="779"/>
      <c r="GG19" s="779"/>
      <c r="GH19" s="779"/>
      <c r="GI19" s="779"/>
      <c r="GJ19" s="779"/>
      <c r="GK19" s="779"/>
      <c r="GL19" s="779"/>
      <c r="GM19" s="779"/>
      <c r="GN19" s="779"/>
      <c r="GO19" s="779"/>
      <c r="GP19" s="779"/>
      <c r="GQ19" s="779"/>
      <c r="GR19" s="779"/>
      <c r="GS19" s="779"/>
      <c r="GT19" s="779"/>
      <c r="GU19" s="779"/>
      <c r="GV19" s="779"/>
      <c r="GW19" s="779"/>
      <c r="GX19" s="779"/>
      <c r="GY19" s="779"/>
      <c r="GZ19" s="779"/>
      <c r="HA19" s="779"/>
      <c r="HB19" s="779"/>
      <c r="HC19" s="779"/>
      <c r="HD19" s="779"/>
      <c r="HE19" s="779"/>
      <c r="HF19" s="779"/>
      <c r="HG19" s="779"/>
      <c r="HH19" s="779"/>
      <c r="HI19" s="779"/>
      <c r="HJ19" s="779"/>
      <c r="HK19" s="779"/>
      <c r="HL19" s="779"/>
      <c r="HM19" s="779"/>
      <c r="HN19" s="779"/>
      <c r="HO19" s="779"/>
      <c r="HP19" s="779"/>
      <c r="HQ19" s="779"/>
      <c r="HR19" s="779"/>
      <c r="HS19" s="779"/>
      <c r="HT19" s="779"/>
      <c r="HU19" s="779"/>
      <c r="HV19" s="779"/>
      <c r="HW19" s="779"/>
      <c r="HX19" s="779"/>
      <c r="HY19" s="779"/>
      <c r="HZ19" s="779"/>
      <c r="IA19" s="779"/>
      <c r="IB19" s="779"/>
      <c r="IC19" s="779"/>
      <c r="ID19" s="779"/>
      <c r="IE19" s="779"/>
      <c r="IF19" s="779"/>
      <c r="IG19" s="779"/>
      <c r="IH19" s="779"/>
      <c r="II19" s="779"/>
      <c r="IJ19" s="779"/>
      <c r="IK19" s="779"/>
      <c r="IL19" s="779"/>
      <c r="IM19" s="779"/>
      <c r="IN19" s="779"/>
      <c r="IO19" s="779"/>
      <c r="IP19" s="779"/>
      <c r="IQ19" s="779"/>
      <c r="IR19" s="779"/>
      <c r="IS19" s="779"/>
      <c r="IT19" s="779"/>
      <c r="IU19" s="779"/>
      <c r="IV19" s="779"/>
    </row>
    <row r="20" spans="1:256" ht="18.95" customHeight="1">
      <c r="A20" s="1205" t="s">
        <v>270</v>
      </c>
      <c r="B20" s="1209" t="s">
        <v>1044</v>
      </c>
      <c r="C20" s="1206">
        <v>608400</v>
      </c>
      <c r="D20" s="1201">
        <v>65</v>
      </c>
      <c r="E20" s="1202">
        <f>ROUNDUP(C20*D20%,0)</f>
        <v>395460</v>
      </c>
      <c r="F20" s="1203">
        <v>12</v>
      </c>
      <c r="G20" s="1207">
        <f t="shared" si="0"/>
        <v>4745520</v>
      </c>
    </row>
    <row r="21" spans="1:256" s="782" customFormat="1" ht="18.95" customHeight="1">
      <c r="A21" s="1205" t="s">
        <v>267</v>
      </c>
      <c r="B21" s="1205" t="s">
        <v>1046</v>
      </c>
      <c r="C21" s="1210">
        <v>483100</v>
      </c>
      <c r="D21" s="1201">
        <v>65</v>
      </c>
      <c r="E21" s="1202">
        <f t="shared" ref="E21:E31" si="2">C21*D21%</f>
        <v>314015</v>
      </c>
      <c r="F21" s="1208">
        <v>12</v>
      </c>
      <c r="G21" s="1207">
        <f t="shared" si="0"/>
        <v>3768180</v>
      </c>
      <c r="AX21" s="779"/>
      <c r="AY21" s="779"/>
      <c r="AZ21" s="779"/>
      <c r="BA21" s="779"/>
      <c r="BB21" s="779"/>
      <c r="BC21" s="779"/>
      <c r="BD21" s="779"/>
      <c r="BE21" s="779"/>
      <c r="BF21" s="779"/>
      <c r="BG21" s="779"/>
      <c r="BH21" s="779"/>
      <c r="BI21" s="779"/>
      <c r="BJ21" s="779"/>
      <c r="BK21" s="779"/>
      <c r="BL21" s="779"/>
      <c r="BM21" s="779"/>
      <c r="BN21" s="779"/>
      <c r="BO21" s="779"/>
      <c r="BP21" s="779"/>
      <c r="BQ21" s="779"/>
      <c r="BR21" s="779"/>
      <c r="BS21" s="779"/>
      <c r="BT21" s="779"/>
      <c r="BU21" s="779"/>
      <c r="BV21" s="779"/>
      <c r="BW21" s="779"/>
      <c r="BX21" s="779"/>
      <c r="BY21" s="779"/>
      <c r="BZ21" s="779"/>
      <c r="CA21" s="779"/>
      <c r="CB21" s="779"/>
      <c r="CC21" s="779"/>
      <c r="CD21" s="779"/>
      <c r="CE21" s="779"/>
      <c r="CF21" s="779"/>
      <c r="CG21" s="779"/>
      <c r="CH21" s="779"/>
      <c r="CI21" s="779"/>
      <c r="CJ21" s="779"/>
      <c r="CK21" s="779"/>
      <c r="CL21" s="779"/>
      <c r="CM21" s="779"/>
      <c r="CN21" s="779"/>
      <c r="CO21" s="779"/>
      <c r="CP21" s="779"/>
      <c r="CQ21" s="779"/>
      <c r="CR21" s="779"/>
      <c r="CS21" s="779"/>
      <c r="CT21" s="779"/>
      <c r="CU21" s="779"/>
      <c r="CV21" s="779"/>
      <c r="CW21" s="779"/>
      <c r="CX21" s="779"/>
      <c r="CY21" s="779"/>
      <c r="CZ21" s="779"/>
      <c r="DA21" s="779"/>
      <c r="DB21" s="779"/>
      <c r="DC21" s="779"/>
      <c r="DD21" s="779"/>
      <c r="DE21" s="779"/>
      <c r="DF21" s="779"/>
      <c r="DG21" s="779"/>
      <c r="DH21" s="779"/>
      <c r="DI21" s="779"/>
      <c r="DJ21" s="779"/>
      <c r="DK21" s="779"/>
      <c r="DL21" s="779"/>
      <c r="DM21" s="779"/>
      <c r="DN21" s="779"/>
      <c r="DO21" s="779"/>
      <c r="DP21" s="779"/>
      <c r="DQ21" s="779"/>
      <c r="DR21" s="779"/>
      <c r="DS21" s="779"/>
      <c r="DT21" s="779"/>
      <c r="DU21" s="779"/>
      <c r="DV21" s="779"/>
      <c r="DW21" s="779"/>
      <c r="DX21" s="779"/>
      <c r="DY21" s="779"/>
      <c r="DZ21" s="779"/>
      <c r="EA21" s="779"/>
      <c r="EB21" s="779"/>
      <c r="EC21" s="779"/>
      <c r="ED21" s="779"/>
      <c r="EE21" s="779"/>
      <c r="EF21" s="779"/>
      <c r="EG21" s="779"/>
      <c r="EH21" s="779"/>
      <c r="EI21" s="779"/>
      <c r="EJ21" s="779"/>
      <c r="EK21" s="779"/>
      <c r="EL21" s="779"/>
      <c r="EM21" s="779"/>
      <c r="EN21" s="779"/>
      <c r="EO21" s="779"/>
      <c r="EP21" s="779"/>
      <c r="EQ21" s="779"/>
      <c r="ER21" s="779"/>
      <c r="ES21" s="779"/>
      <c r="ET21" s="779"/>
      <c r="EU21" s="779"/>
      <c r="EV21" s="779"/>
      <c r="EW21" s="779"/>
      <c r="EX21" s="779"/>
      <c r="EY21" s="779"/>
      <c r="EZ21" s="779"/>
      <c r="FA21" s="779"/>
      <c r="FB21" s="779"/>
      <c r="FC21" s="779"/>
      <c r="FD21" s="779"/>
      <c r="FE21" s="779"/>
      <c r="FF21" s="779"/>
      <c r="FG21" s="779"/>
      <c r="FH21" s="779"/>
      <c r="FI21" s="779"/>
      <c r="FJ21" s="779"/>
      <c r="FK21" s="779"/>
      <c r="FL21" s="779"/>
      <c r="FM21" s="779"/>
      <c r="FN21" s="779"/>
      <c r="FO21" s="779"/>
      <c r="FP21" s="779"/>
      <c r="FQ21" s="779"/>
      <c r="FR21" s="779"/>
      <c r="FS21" s="779"/>
      <c r="FT21" s="779"/>
      <c r="FU21" s="779"/>
      <c r="FV21" s="779"/>
      <c r="FW21" s="779"/>
      <c r="FX21" s="779"/>
      <c r="FY21" s="779"/>
      <c r="FZ21" s="779"/>
      <c r="GA21" s="779"/>
      <c r="GB21" s="779"/>
      <c r="GC21" s="779"/>
      <c r="GD21" s="779"/>
      <c r="GE21" s="779"/>
      <c r="GF21" s="779"/>
      <c r="GG21" s="779"/>
      <c r="GH21" s="779"/>
      <c r="GI21" s="779"/>
      <c r="GJ21" s="779"/>
      <c r="GK21" s="779"/>
      <c r="GL21" s="779"/>
      <c r="GM21" s="779"/>
      <c r="GN21" s="779"/>
      <c r="GO21" s="779"/>
      <c r="GP21" s="779"/>
      <c r="GQ21" s="779"/>
      <c r="GR21" s="779"/>
      <c r="GS21" s="779"/>
      <c r="GT21" s="779"/>
      <c r="GU21" s="779"/>
      <c r="GV21" s="779"/>
      <c r="GW21" s="779"/>
      <c r="GX21" s="779"/>
      <c r="GY21" s="779"/>
      <c r="GZ21" s="779"/>
      <c r="HA21" s="779"/>
      <c r="HB21" s="779"/>
      <c r="HC21" s="779"/>
      <c r="HD21" s="779"/>
      <c r="HE21" s="779"/>
      <c r="HF21" s="779"/>
      <c r="HG21" s="779"/>
      <c r="HH21" s="779"/>
      <c r="HI21" s="779"/>
      <c r="HJ21" s="779"/>
      <c r="HK21" s="779"/>
      <c r="HL21" s="779"/>
      <c r="HM21" s="779"/>
      <c r="HN21" s="779"/>
      <c r="HO21" s="779"/>
      <c r="HP21" s="779"/>
      <c r="HQ21" s="779"/>
      <c r="HR21" s="779"/>
      <c r="HS21" s="779"/>
      <c r="HT21" s="779"/>
      <c r="HU21" s="779"/>
      <c r="HV21" s="779"/>
      <c r="HW21" s="779"/>
      <c r="HX21" s="779"/>
      <c r="HY21" s="779"/>
      <c r="HZ21" s="779"/>
      <c r="IA21" s="779"/>
      <c r="IB21" s="779"/>
      <c r="IC21" s="779"/>
      <c r="ID21" s="779"/>
      <c r="IE21" s="779"/>
      <c r="IF21" s="779"/>
      <c r="IG21" s="779"/>
      <c r="IH21" s="779"/>
      <c r="II21" s="779"/>
      <c r="IJ21" s="779"/>
      <c r="IK21" s="779"/>
      <c r="IL21" s="779"/>
      <c r="IM21" s="779"/>
      <c r="IN21" s="779"/>
      <c r="IO21" s="779"/>
      <c r="IP21" s="779"/>
      <c r="IQ21" s="779"/>
      <c r="IR21" s="779"/>
      <c r="IS21" s="779"/>
      <c r="IT21" s="779"/>
      <c r="IU21" s="779"/>
      <c r="IV21" s="779"/>
    </row>
    <row r="22" spans="1:256" s="782" customFormat="1" ht="18.95" customHeight="1">
      <c r="A22" s="1205" t="s">
        <v>1525</v>
      </c>
      <c r="B22" s="1205" t="s">
        <v>1015</v>
      </c>
      <c r="C22" s="1206">
        <v>483100</v>
      </c>
      <c r="D22" s="1201">
        <v>30</v>
      </c>
      <c r="E22" s="1202">
        <f t="shared" si="2"/>
        <v>144930</v>
      </c>
      <c r="F22" s="1203">
        <v>12</v>
      </c>
      <c r="G22" s="1207">
        <f t="shared" si="0"/>
        <v>1739160</v>
      </c>
      <c r="AX22" s="779"/>
      <c r="AY22" s="779"/>
      <c r="AZ22" s="779"/>
      <c r="BA22" s="779"/>
      <c r="BB22" s="779"/>
      <c r="BC22" s="779"/>
      <c r="BD22" s="779"/>
      <c r="BE22" s="779"/>
      <c r="BF22" s="779"/>
      <c r="BG22" s="779"/>
      <c r="BH22" s="779"/>
      <c r="BI22" s="779"/>
      <c r="BJ22" s="779"/>
      <c r="BK22" s="779"/>
      <c r="BL22" s="779"/>
      <c r="BM22" s="779"/>
      <c r="BN22" s="779"/>
      <c r="BO22" s="779"/>
      <c r="BP22" s="779"/>
      <c r="BQ22" s="779"/>
      <c r="BR22" s="779"/>
      <c r="BS22" s="779"/>
      <c r="BT22" s="779"/>
      <c r="BU22" s="779"/>
      <c r="BV22" s="779"/>
      <c r="BW22" s="779"/>
      <c r="BX22" s="779"/>
      <c r="BY22" s="779"/>
      <c r="BZ22" s="779"/>
      <c r="CA22" s="779"/>
      <c r="CB22" s="779"/>
      <c r="CC22" s="779"/>
      <c r="CD22" s="779"/>
      <c r="CE22" s="779"/>
      <c r="CF22" s="779"/>
      <c r="CG22" s="779"/>
      <c r="CH22" s="779"/>
      <c r="CI22" s="779"/>
      <c r="CJ22" s="779"/>
      <c r="CK22" s="779"/>
      <c r="CL22" s="779"/>
      <c r="CM22" s="779"/>
      <c r="CN22" s="779"/>
      <c r="CO22" s="779"/>
      <c r="CP22" s="779"/>
      <c r="CQ22" s="779"/>
      <c r="CR22" s="779"/>
      <c r="CS22" s="779"/>
      <c r="CT22" s="779"/>
      <c r="CU22" s="779"/>
      <c r="CV22" s="779"/>
      <c r="CW22" s="779"/>
      <c r="CX22" s="779"/>
      <c r="CY22" s="779"/>
      <c r="CZ22" s="779"/>
      <c r="DA22" s="779"/>
      <c r="DB22" s="779"/>
      <c r="DC22" s="779"/>
      <c r="DD22" s="779"/>
      <c r="DE22" s="779"/>
      <c r="DF22" s="779"/>
      <c r="DG22" s="779"/>
      <c r="DH22" s="779"/>
      <c r="DI22" s="779"/>
      <c r="DJ22" s="779"/>
      <c r="DK22" s="779"/>
      <c r="DL22" s="779"/>
      <c r="DM22" s="779"/>
      <c r="DN22" s="779"/>
      <c r="DO22" s="779"/>
      <c r="DP22" s="779"/>
      <c r="DQ22" s="779"/>
      <c r="DR22" s="779"/>
      <c r="DS22" s="779"/>
      <c r="DT22" s="779"/>
      <c r="DU22" s="779"/>
      <c r="DV22" s="779"/>
      <c r="DW22" s="779"/>
      <c r="DX22" s="779"/>
      <c r="DY22" s="779"/>
      <c r="DZ22" s="779"/>
      <c r="EA22" s="779"/>
      <c r="EB22" s="779"/>
      <c r="EC22" s="779"/>
      <c r="ED22" s="779"/>
      <c r="EE22" s="779"/>
      <c r="EF22" s="779"/>
      <c r="EG22" s="779"/>
      <c r="EH22" s="779"/>
      <c r="EI22" s="779"/>
      <c r="EJ22" s="779"/>
      <c r="EK22" s="779"/>
      <c r="EL22" s="779"/>
      <c r="EM22" s="779"/>
      <c r="EN22" s="779"/>
      <c r="EO22" s="779"/>
      <c r="EP22" s="779"/>
      <c r="EQ22" s="779"/>
      <c r="ER22" s="779"/>
      <c r="ES22" s="779"/>
      <c r="ET22" s="779"/>
      <c r="EU22" s="779"/>
      <c r="EV22" s="779"/>
      <c r="EW22" s="779"/>
      <c r="EX22" s="779"/>
      <c r="EY22" s="779"/>
      <c r="EZ22" s="779"/>
      <c r="FA22" s="779"/>
      <c r="FB22" s="779"/>
      <c r="FC22" s="779"/>
      <c r="FD22" s="779"/>
      <c r="FE22" s="779"/>
      <c r="FF22" s="779"/>
      <c r="FG22" s="779"/>
      <c r="FH22" s="779"/>
      <c r="FI22" s="779"/>
      <c r="FJ22" s="779"/>
      <c r="FK22" s="779"/>
      <c r="FL22" s="779"/>
      <c r="FM22" s="779"/>
      <c r="FN22" s="779"/>
      <c r="FO22" s="779"/>
      <c r="FP22" s="779"/>
      <c r="FQ22" s="779"/>
      <c r="FR22" s="779"/>
      <c r="FS22" s="779"/>
      <c r="FT22" s="779"/>
      <c r="FU22" s="779"/>
      <c r="FV22" s="779"/>
      <c r="FW22" s="779"/>
      <c r="FX22" s="779"/>
      <c r="FY22" s="779"/>
      <c r="FZ22" s="779"/>
      <c r="GA22" s="779"/>
      <c r="GB22" s="779"/>
      <c r="GC22" s="779"/>
      <c r="GD22" s="779"/>
      <c r="GE22" s="779"/>
      <c r="GF22" s="779"/>
      <c r="GG22" s="779"/>
      <c r="GH22" s="779"/>
      <c r="GI22" s="779"/>
      <c r="GJ22" s="779"/>
      <c r="GK22" s="779"/>
      <c r="GL22" s="779"/>
      <c r="GM22" s="779"/>
      <c r="GN22" s="779"/>
      <c r="GO22" s="779"/>
      <c r="GP22" s="779"/>
      <c r="GQ22" s="779"/>
      <c r="GR22" s="779"/>
      <c r="GS22" s="779"/>
      <c r="GT22" s="779"/>
      <c r="GU22" s="779"/>
      <c r="GV22" s="779"/>
      <c r="GW22" s="779"/>
      <c r="GX22" s="779"/>
      <c r="GY22" s="779"/>
      <c r="GZ22" s="779"/>
      <c r="HA22" s="779"/>
      <c r="HB22" s="779"/>
      <c r="HC22" s="779"/>
      <c r="HD22" s="779"/>
      <c r="HE22" s="779"/>
      <c r="HF22" s="779"/>
      <c r="HG22" s="779"/>
      <c r="HH22" s="779"/>
      <c r="HI22" s="779"/>
      <c r="HJ22" s="779"/>
      <c r="HK22" s="779"/>
      <c r="HL22" s="779"/>
      <c r="HM22" s="779"/>
      <c r="HN22" s="779"/>
      <c r="HO22" s="779"/>
      <c r="HP22" s="779"/>
      <c r="HQ22" s="779"/>
      <c r="HR22" s="779"/>
      <c r="HS22" s="779"/>
      <c r="HT22" s="779"/>
      <c r="HU22" s="779"/>
      <c r="HV22" s="779"/>
      <c r="HW22" s="779"/>
      <c r="HX22" s="779"/>
      <c r="HY22" s="779"/>
      <c r="HZ22" s="779"/>
      <c r="IA22" s="779"/>
      <c r="IB22" s="779"/>
      <c r="IC22" s="779"/>
      <c r="ID22" s="779"/>
      <c r="IE22" s="779"/>
      <c r="IF22" s="779"/>
      <c r="IG22" s="779"/>
      <c r="IH22" s="779"/>
      <c r="II22" s="779"/>
      <c r="IJ22" s="779"/>
      <c r="IK22" s="779"/>
      <c r="IL22" s="779"/>
      <c r="IM22" s="779"/>
      <c r="IN22" s="779"/>
      <c r="IO22" s="779"/>
      <c r="IP22" s="779"/>
      <c r="IQ22" s="779"/>
      <c r="IR22" s="779"/>
      <c r="IS22" s="779"/>
      <c r="IT22" s="779"/>
      <c r="IU22" s="779"/>
      <c r="IV22" s="779"/>
    </row>
    <row r="23" spans="1:256" s="782" customFormat="1" ht="18.95" customHeight="1">
      <c r="A23" s="1205" t="s">
        <v>1526</v>
      </c>
      <c r="B23" s="1205" t="s">
        <v>1015</v>
      </c>
      <c r="C23" s="1206">
        <v>483100</v>
      </c>
      <c r="D23" s="1201">
        <v>30</v>
      </c>
      <c r="E23" s="1202">
        <f t="shared" si="2"/>
        <v>144930</v>
      </c>
      <c r="F23" s="1203">
        <v>12</v>
      </c>
      <c r="G23" s="1207">
        <f t="shared" si="0"/>
        <v>1739160</v>
      </c>
      <c r="AX23" s="779"/>
      <c r="AY23" s="779"/>
      <c r="AZ23" s="779"/>
      <c r="BA23" s="779"/>
      <c r="BB23" s="779"/>
      <c r="BC23" s="779"/>
      <c r="BD23" s="779"/>
      <c r="BE23" s="779"/>
      <c r="BF23" s="779"/>
      <c r="BG23" s="779"/>
      <c r="BH23" s="779"/>
      <c r="BI23" s="779"/>
      <c r="BJ23" s="779"/>
      <c r="BK23" s="779"/>
      <c r="BL23" s="779"/>
      <c r="BM23" s="779"/>
      <c r="BN23" s="779"/>
      <c r="BO23" s="779"/>
      <c r="BP23" s="779"/>
      <c r="BQ23" s="779"/>
      <c r="BR23" s="779"/>
      <c r="BS23" s="779"/>
      <c r="BT23" s="779"/>
      <c r="BU23" s="779"/>
      <c r="BV23" s="779"/>
      <c r="BW23" s="779"/>
      <c r="BX23" s="779"/>
      <c r="BY23" s="779"/>
      <c r="BZ23" s="779"/>
      <c r="CA23" s="779"/>
      <c r="CB23" s="779"/>
      <c r="CC23" s="779"/>
      <c r="CD23" s="779"/>
      <c r="CE23" s="779"/>
      <c r="CF23" s="779"/>
      <c r="CG23" s="779"/>
      <c r="CH23" s="779"/>
      <c r="CI23" s="779"/>
      <c r="CJ23" s="779"/>
      <c r="CK23" s="779"/>
      <c r="CL23" s="779"/>
      <c r="CM23" s="779"/>
      <c r="CN23" s="779"/>
      <c r="CO23" s="779"/>
      <c r="CP23" s="779"/>
      <c r="CQ23" s="779"/>
      <c r="CR23" s="779"/>
      <c r="CS23" s="779"/>
      <c r="CT23" s="779"/>
      <c r="CU23" s="779"/>
      <c r="CV23" s="779"/>
      <c r="CW23" s="779"/>
      <c r="CX23" s="779"/>
      <c r="CY23" s="779"/>
      <c r="CZ23" s="779"/>
      <c r="DA23" s="779"/>
      <c r="DB23" s="779"/>
      <c r="DC23" s="779"/>
      <c r="DD23" s="779"/>
      <c r="DE23" s="779"/>
      <c r="DF23" s="779"/>
      <c r="DG23" s="779"/>
      <c r="DH23" s="779"/>
      <c r="DI23" s="779"/>
      <c r="DJ23" s="779"/>
      <c r="DK23" s="779"/>
      <c r="DL23" s="779"/>
      <c r="DM23" s="779"/>
      <c r="DN23" s="779"/>
      <c r="DO23" s="779"/>
      <c r="DP23" s="779"/>
      <c r="DQ23" s="779"/>
      <c r="DR23" s="779"/>
      <c r="DS23" s="779"/>
      <c r="DT23" s="779"/>
      <c r="DU23" s="779"/>
      <c r="DV23" s="779"/>
      <c r="DW23" s="779"/>
      <c r="DX23" s="779"/>
      <c r="DY23" s="779"/>
      <c r="DZ23" s="779"/>
      <c r="EA23" s="779"/>
      <c r="EB23" s="779"/>
      <c r="EC23" s="779"/>
      <c r="ED23" s="779"/>
      <c r="EE23" s="779"/>
      <c r="EF23" s="779"/>
      <c r="EG23" s="779"/>
      <c r="EH23" s="779"/>
      <c r="EI23" s="779"/>
      <c r="EJ23" s="779"/>
      <c r="EK23" s="779"/>
      <c r="EL23" s="779"/>
      <c r="EM23" s="779"/>
      <c r="EN23" s="779"/>
      <c r="EO23" s="779"/>
      <c r="EP23" s="779"/>
      <c r="EQ23" s="779"/>
      <c r="ER23" s="779"/>
      <c r="ES23" s="779"/>
      <c r="ET23" s="779"/>
      <c r="EU23" s="779"/>
      <c r="EV23" s="779"/>
      <c r="EW23" s="779"/>
      <c r="EX23" s="779"/>
      <c r="EY23" s="779"/>
      <c r="EZ23" s="779"/>
      <c r="FA23" s="779"/>
      <c r="FB23" s="779"/>
      <c r="FC23" s="779"/>
      <c r="FD23" s="779"/>
      <c r="FE23" s="779"/>
      <c r="FF23" s="779"/>
      <c r="FG23" s="779"/>
      <c r="FH23" s="779"/>
      <c r="FI23" s="779"/>
      <c r="FJ23" s="779"/>
      <c r="FK23" s="779"/>
      <c r="FL23" s="779"/>
      <c r="FM23" s="779"/>
      <c r="FN23" s="779"/>
      <c r="FO23" s="779"/>
      <c r="FP23" s="779"/>
      <c r="FQ23" s="779"/>
      <c r="FR23" s="779"/>
      <c r="FS23" s="779"/>
      <c r="FT23" s="779"/>
      <c r="FU23" s="779"/>
      <c r="FV23" s="779"/>
      <c r="FW23" s="779"/>
      <c r="FX23" s="779"/>
      <c r="FY23" s="779"/>
      <c r="FZ23" s="779"/>
      <c r="GA23" s="779"/>
      <c r="GB23" s="779"/>
      <c r="GC23" s="779"/>
      <c r="GD23" s="779"/>
      <c r="GE23" s="779"/>
      <c r="GF23" s="779"/>
      <c r="GG23" s="779"/>
      <c r="GH23" s="779"/>
      <c r="GI23" s="779"/>
      <c r="GJ23" s="779"/>
      <c r="GK23" s="779"/>
      <c r="GL23" s="779"/>
      <c r="GM23" s="779"/>
      <c r="GN23" s="779"/>
      <c r="GO23" s="779"/>
      <c r="GP23" s="779"/>
      <c r="GQ23" s="779"/>
      <c r="GR23" s="779"/>
      <c r="GS23" s="779"/>
      <c r="GT23" s="779"/>
      <c r="GU23" s="779"/>
      <c r="GV23" s="779"/>
      <c r="GW23" s="779"/>
      <c r="GX23" s="779"/>
      <c r="GY23" s="779"/>
      <c r="GZ23" s="779"/>
      <c r="HA23" s="779"/>
      <c r="HB23" s="779"/>
      <c r="HC23" s="779"/>
      <c r="HD23" s="779"/>
      <c r="HE23" s="779"/>
      <c r="HF23" s="779"/>
      <c r="HG23" s="779"/>
      <c r="HH23" s="779"/>
      <c r="HI23" s="779"/>
      <c r="HJ23" s="779"/>
      <c r="HK23" s="779"/>
      <c r="HL23" s="779"/>
      <c r="HM23" s="779"/>
      <c r="HN23" s="779"/>
      <c r="HO23" s="779"/>
      <c r="HP23" s="779"/>
      <c r="HQ23" s="779"/>
      <c r="HR23" s="779"/>
      <c r="HS23" s="779"/>
      <c r="HT23" s="779"/>
      <c r="HU23" s="779"/>
      <c r="HV23" s="779"/>
      <c r="HW23" s="779"/>
      <c r="HX23" s="779"/>
      <c r="HY23" s="779"/>
      <c r="HZ23" s="779"/>
      <c r="IA23" s="779"/>
      <c r="IB23" s="779"/>
      <c r="IC23" s="779"/>
      <c r="ID23" s="779"/>
      <c r="IE23" s="779"/>
      <c r="IF23" s="779"/>
      <c r="IG23" s="779"/>
      <c r="IH23" s="779"/>
      <c r="II23" s="779"/>
      <c r="IJ23" s="779"/>
      <c r="IK23" s="779"/>
      <c r="IL23" s="779"/>
      <c r="IM23" s="779"/>
      <c r="IN23" s="779"/>
      <c r="IO23" s="779"/>
      <c r="IP23" s="779"/>
      <c r="IQ23" s="779"/>
      <c r="IR23" s="779"/>
      <c r="IS23" s="779"/>
      <c r="IT23" s="779"/>
      <c r="IU23" s="779"/>
      <c r="IV23" s="779"/>
    </row>
    <row r="24" spans="1:256" s="782" customFormat="1" ht="18.95" customHeight="1">
      <c r="A24" s="1205" t="s">
        <v>1527</v>
      </c>
      <c r="B24" s="1205" t="s">
        <v>1014</v>
      </c>
      <c r="C24" s="1210">
        <v>497200</v>
      </c>
      <c r="D24" s="1201">
        <v>65</v>
      </c>
      <c r="E24" s="1202">
        <f t="shared" si="2"/>
        <v>323180</v>
      </c>
      <c r="F24" s="1203">
        <v>12</v>
      </c>
      <c r="G24" s="1207">
        <f t="shared" si="0"/>
        <v>3878160</v>
      </c>
      <c r="AX24" s="779"/>
      <c r="AY24" s="779"/>
      <c r="AZ24" s="779"/>
      <c r="BA24" s="779"/>
      <c r="BB24" s="779"/>
      <c r="BC24" s="779"/>
      <c r="BD24" s="779"/>
      <c r="BE24" s="779"/>
      <c r="BF24" s="779"/>
      <c r="BG24" s="779"/>
      <c r="BH24" s="779"/>
      <c r="BI24" s="779"/>
      <c r="BJ24" s="779"/>
      <c r="BK24" s="779"/>
      <c r="BL24" s="779"/>
      <c r="BM24" s="779"/>
      <c r="BN24" s="779"/>
      <c r="BO24" s="779"/>
      <c r="BP24" s="779"/>
      <c r="BQ24" s="779"/>
      <c r="BR24" s="779"/>
      <c r="BS24" s="779"/>
      <c r="BT24" s="779"/>
      <c r="BU24" s="779"/>
      <c r="BV24" s="779"/>
      <c r="BW24" s="779"/>
      <c r="BX24" s="779"/>
      <c r="BY24" s="779"/>
      <c r="BZ24" s="779"/>
      <c r="CA24" s="779"/>
      <c r="CB24" s="779"/>
      <c r="CC24" s="779"/>
      <c r="CD24" s="779"/>
      <c r="CE24" s="779"/>
      <c r="CF24" s="779"/>
      <c r="CG24" s="779"/>
      <c r="CH24" s="779"/>
      <c r="CI24" s="779"/>
      <c r="CJ24" s="779"/>
      <c r="CK24" s="779"/>
      <c r="CL24" s="779"/>
      <c r="CM24" s="779"/>
      <c r="CN24" s="779"/>
      <c r="CO24" s="779"/>
      <c r="CP24" s="779"/>
      <c r="CQ24" s="779"/>
      <c r="CR24" s="779"/>
      <c r="CS24" s="779"/>
      <c r="CT24" s="779"/>
      <c r="CU24" s="779"/>
      <c r="CV24" s="779"/>
      <c r="CW24" s="779"/>
      <c r="CX24" s="779"/>
      <c r="CY24" s="779"/>
      <c r="CZ24" s="779"/>
      <c r="DA24" s="779"/>
      <c r="DB24" s="779"/>
      <c r="DC24" s="779"/>
      <c r="DD24" s="779"/>
      <c r="DE24" s="779"/>
      <c r="DF24" s="779"/>
      <c r="DG24" s="779"/>
      <c r="DH24" s="779"/>
      <c r="DI24" s="779"/>
      <c r="DJ24" s="779"/>
      <c r="DK24" s="779"/>
      <c r="DL24" s="779"/>
      <c r="DM24" s="779"/>
      <c r="DN24" s="779"/>
      <c r="DO24" s="779"/>
      <c r="DP24" s="779"/>
      <c r="DQ24" s="779"/>
      <c r="DR24" s="779"/>
      <c r="DS24" s="779"/>
      <c r="DT24" s="779"/>
      <c r="DU24" s="779"/>
      <c r="DV24" s="779"/>
      <c r="DW24" s="779"/>
      <c r="DX24" s="779"/>
      <c r="DY24" s="779"/>
      <c r="DZ24" s="779"/>
      <c r="EA24" s="779"/>
      <c r="EB24" s="779"/>
      <c r="EC24" s="779"/>
      <c r="ED24" s="779"/>
      <c r="EE24" s="779"/>
      <c r="EF24" s="779"/>
      <c r="EG24" s="779"/>
      <c r="EH24" s="779"/>
      <c r="EI24" s="779"/>
      <c r="EJ24" s="779"/>
      <c r="EK24" s="779"/>
      <c r="EL24" s="779"/>
      <c r="EM24" s="779"/>
      <c r="EN24" s="779"/>
      <c r="EO24" s="779"/>
      <c r="EP24" s="779"/>
      <c r="EQ24" s="779"/>
      <c r="ER24" s="779"/>
      <c r="ES24" s="779"/>
      <c r="ET24" s="779"/>
      <c r="EU24" s="779"/>
      <c r="EV24" s="779"/>
      <c r="EW24" s="779"/>
      <c r="EX24" s="779"/>
      <c r="EY24" s="779"/>
      <c r="EZ24" s="779"/>
      <c r="FA24" s="779"/>
      <c r="FB24" s="779"/>
      <c r="FC24" s="779"/>
      <c r="FD24" s="779"/>
      <c r="FE24" s="779"/>
      <c r="FF24" s="779"/>
      <c r="FG24" s="779"/>
      <c r="FH24" s="779"/>
      <c r="FI24" s="779"/>
      <c r="FJ24" s="779"/>
      <c r="FK24" s="779"/>
      <c r="FL24" s="779"/>
      <c r="FM24" s="779"/>
      <c r="FN24" s="779"/>
      <c r="FO24" s="779"/>
      <c r="FP24" s="779"/>
      <c r="FQ24" s="779"/>
      <c r="FR24" s="779"/>
      <c r="FS24" s="779"/>
      <c r="FT24" s="779"/>
      <c r="FU24" s="779"/>
      <c r="FV24" s="779"/>
      <c r="FW24" s="779"/>
      <c r="FX24" s="779"/>
      <c r="FY24" s="779"/>
      <c r="FZ24" s="779"/>
      <c r="GA24" s="779"/>
      <c r="GB24" s="779"/>
      <c r="GC24" s="779"/>
      <c r="GD24" s="779"/>
      <c r="GE24" s="779"/>
      <c r="GF24" s="779"/>
      <c r="GG24" s="779"/>
      <c r="GH24" s="779"/>
      <c r="GI24" s="779"/>
      <c r="GJ24" s="779"/>
      <c r="GK24" s="779"/>
      <c r="GL24" s="779"/>
      <c r="GM24" s="779"/>
      <c r="GN24" s="779"/>
      <c r="GO24" s="779"/>
      <c r="GP24" s="779"/>
      <c r="GQ24" s="779"/>
      <c r="GR24" s="779"/>
      <c r="GS24" s="779"/>
      <c r="GT24" s="779"/>
      <c r="GU24" s="779"/>
      <c r="GV24" s="779"/>
      <c r="GW24" s="779"/>
      <c r="GX24" s="779"/>
      <c r="GY24" s="779"/>
      <c r="GZ24" s="779"/>
      <c r="HA24" s="779"/>
      <c r="HB24" s="779"/>
      <c r="HC24" s="779"/>
      <c r="HD24" s="779"/>
      <c r="HE24" s="779"/>
      <c r="HF24" s="779"/>
      <c r="HG24" s="779"/>
      <c r="HH24" s="779"/>
      <c r="HI24" s="779"/>
      <c r="HJ24" s="779"/>
      <c r="HK24" s="779"/>
      <c r="HL24" s="779"/>
      <c r="HM24" s="779"/>
      <c r="HN24" s="779"/>
      <c r="HO24" s="779"/>
      <c r="HP24" s="779"/>
      <c r="HQ24" s="779"/>
      <c r="HR24" s="779"/>
      <c r="HS24" s="779"/>
      <c r="HT24" s="779"/>
      <c r="HU24" s="779"/>
      <c r="HV24" s="779"/>
      <c r="HW24" s="779"/>
      <c r="HX24" s="779"/>
      <c r="HY24" s="779"/>
      <c r="HZ24" s="779"/>
      <c r="IA24" s="779"/>
      <c r="IB24" s="779"/>
      <c r="IC24" s="779"/>
      <c r="ID24" s="779"/>
      <c r="IE24" s="779"/>
      <c r="IF24" s="779"/>
      <c r="IG24" s="779"/>
      <c r="IH24" s="779"/>
      <c r="II24" s="779"/>
      <c r="IJ24" s="779"/>
      <c r="IK24" s="779"/>
      <c r="IL24" s="779"/>
      <c r="IM24" s="779"/>
      <c r="IN24" s="779"/>
      <c r="IO24" s="779"/>
      <c r="IP24" s="779"/>
      <c r="IQ24" s="779"/>
      <c r="IR24" s="779"/>
      <c r="IS24" s="779"/>
      <c r="IT24" s="779"/>
      <c r="IU24" s="779"/>
      <c r="IV24" s="779"/>
    </row>
    <row r="25" spans="1:256" s="782" customFormat="1" ht="18.95" customHeight="1">
      <c r="A25" s="1211" t="s">
        <v>1528</v>
      </c>
      <c r="B25" s="1205" t="s">
        <v>1014</v>
      </c>
      <c r="C25" s="1206">
        <v>497200</v>
      </c>
      <c r="D25" s="1201">
        <v>65</v>
      </c>
      <c r="E25" s="1202">
        <f t="shared" si="2"/>
        <v>323180</v>
      </c>
      <c r="F25" s="1203">
        <v>12</v>
      </c>
      <c r="G25" s="1207">
        <f t="shared" si="0"/>
        <v>3878160</v>
      </c>
      <c r="AX25" s="779"/>
      <c r="AY25" s="779"/>
      <c r="AZ25" s="779"/>
      <c r="BA25" s="779"/>
      <c r="BB25" s="779"/>
      <c r="BC25" s="779"/>
      <c r="BD25" s="779"/>
      <c r="BE25" s="779"/>
      <c r="BF25" s="779"/>
      <c r="BG25" s="779"/>
      <c r="BH25" s="779"/>
      <c r="BI25" s="779"/>
      <c r="BJ25" s="779"/>
      <c r="BK25" s="779"/>
      <c r="BL25" s="779"/>
      <c r="BM25" s="779"/>
      <c r="BN25" s="779"/>
      <c r="BO25" s="779"/>
      <c r="BP25" s="779"/>
      <c r="BQ25" s="779"/>
      <c r="BR25" s="779"/>
      <c r="BS25" s="779"/>
      <c r="BT25" s="779"/>
      <c r="BU25" s="779"/>
      <c r="BV25" s="779"/>
      <c r="BW25" s="779"/>
      <c r="BX25" s="779"/>
      <c r="BY25" s="779"/>
      <c r="BZ25" s="779"/>
      <c r="CA25" s="779"/>
      <c r="CB25" s="779"/>
      <c r="CC25" s="779"/>
      <c r="CD25" s="779"/>
      <c r="CE25" s="779"/>
      <c r="CF25" s="779"/>
      <c r="CG25" s="779"/>
      <c r="CH25" s="779"/>
      <c r="CI25" s="779"/>
      <c r="CJ25" s="779"/>
      <c r="CK25" s="779"/>
      <c r="CL25" s="779"/>
      <c r="CM25" s="779"/>
      <c r="CN25" s="779"/>
      <c r="CO25" s="779"/>
      <c r="CP25" s="779"/>
      <c r="CQ25" s="779"/>
      <c r="CR25" s="779"/>
      <c r="CS25" s="779"/>
      <c r="CT25" s="779"/>
      <c r="CU25" s="779"/>
      <c r="CV25" s="779"/>
      <c r="CW25" s="779"/>
      <c r="CX25" s="779"/>
      <c r="CY25" s="779"/>
      <c r="CZ25" s="779"/>
      <c r="DA25" s="779"/>
      <c r="DB25" s="779"/>
      <c r="DC25" s="779"/>
      <c r="DD25" s="779"/>
      <c r="DE25" s="779"/>
      <c r="DF25" s="779"/>
      <c r="DG25" s="779"/>
      <c r="DH25" s="779"/>
      <c r="DI25" s="779"/>
      <c r="DJ25" s="779"/>
      <c r="DK25" s="779"/>
      <c r="DL25" s="779"/>
      <c r="DM25" s="779"/>
      <c r="DN25" s="779"/>
      <c r="DO25" s="779"/>
      <c r="DP25" s="779"/>
      <c r="DQ25" s="779"/>
      <c r="DR25" s="779"/>
      <c r="DS25" s="779"/>
      <c r="DT25" s="779"/>
      <c r="DU25" s="779"/>
      <c r="DV25" s="779"/>
      <c r="DW25" s="779"/>
      <c r="DX25" s="779"/>
      <c r="DY25" s="779"/>
      <c r="DZ25" s="779"/>
      <c r="EA25" s="779"/>
      <c r="EB25" s="779"/>
      <c r="EC25" s="779"/>
      <c r="ED25" s="779"/>
      <c r="EE25" s="779"/>
      <c r="EF25" s="779"/>
      <c r="EG25" s="779"/>
      <c r="EH25" s="779"/>
      <c r="EI25" s="779"/>
      <c r="EJ25" s="779"/>
      <c r="EK25" s="779"/>
      <c r="EL25" s="779"/>
      <c r="EM25" s="779"/>
      <c r="EN25" s="779"/>
      <c r="EO25" s="779"/>
      <c r="EP25" s="779"/>
      <c r="EQ25" s="779"/>
      <c r="ER25" s="779"/>
      <c r="ES25" s="779"/>
      <c r="ET25" s="779"/>
      <c r="EU25" s="779"/>
      <c r="EV25" s="779"/>
      <c r="EW25" s="779"/>
      <c r="EX25" s="779"/>
      <c r="EY25" s="779"/>
      <c r="EZ25" s="779"/>
      <c r="FA25" s="779"/>
      <c r="FB25" s="779"/>
      <c r="FC25" s="779"/>
      <c r="FD25" s="779"/>
      <c r="FE25" s="779"/>
      <c r="FF25" s="779"/>
      <c r="FG25" s="779"/>
      <c r="FH25" s="779"/>
      <c r="FI25" s="779"/>
      <c r="FJ25" s="779"/>
      <c r="FK25" s="779"/>
      <c r="FL25" s="779"/>
      <c r="FM25" s="779"/>
      <c r="FN25" s="779"/>
      <c r="FO25" s="779"/>
      <c r="FP25" s="779"/>
      <c r="FQ25" s="779"/>
      <c r="FR25" s="779"/>
      <c r="FS25" s="779"/>
      <c r="FT25" s="779"/>
      <c r="FU25" s="779"/>
      <c r="FV25" s="779"/>
      <c r="FW25" s="779"/>
      <c r="FX25" s="779"/>
      <c r="FY25" s="779"/>
      <c r="FZ25" s="779"/>
      <c r="GA25" s="779"/>
      <c r="GB25" s="779"/>
      <c r="GC25" s="779"/>
      <c r="GD25" s="779"/>
      <c r="GE25" s="779"/>
      <c r="GF25" s="779"/>
      <c r="GG25" s="779"/>
      <c r="GH25" s="779"/>
      <c r="GI25" s="779"/>
      <c r="GJ25" s="779"/>
      <c r="GK25" s="779"/>
      <c r="GL25" s="779"/>
      <c r="GM25" s="779"/>
      <c r="GN25" s="779"/>
      <c r="GO25" s="779"/>
      <c r="GP25" s="779"/>
      <c r="GQ25" s="779"/>
      <c r="GR25" s="779"/>
      <c r="GS25" s="779"/>
      <c r="GT25" s="779"/>
      <c r="GU25" s="779"/>
      <c r="GV25" s="779"/>
      <c r="GW25" s="779"/>
      <c r="GX25" s="779"/>
      <c r="GY25" s="779"/>
      <c r="GZ25" s="779"/>
      <c r="HA25" s="779"/>
      <c r="HB25" s="779"/>
      <c r="HC25" s="779"/>
      <c r="HD25" s="779"/>
      <c r="HE25" s="779"/>
      <c r="HF25" s="779"/>
      <c r="HG25" s="779"/>
      <c r="HH25" s="779"/>
      <c r="HI25" s="779"/>
      <c r="HJ25" s="779"/>
      <c r="HK25" s="779"/>
      <c r="HL25" s="779"/>
      <c r="HM25" s="779"/>
      <c r="HN25" s="779"/>
      <c r="HO25" s="779"/>
      <c r="HP25" s="779"/>
      <c r="HQ25" s="779"/>
      <c r="HR25" s="779"/>
      <c r="HS25" s="779"/>
      <c r="HT25" s="779"/>
      <c r="HU25" s="779"/>
      <c r="HV25" s="779"/>
      <c r="HW25" s="779"/>
      <c r="HX25" s="779"/>
      <c r="HY25" s="779"/>
      <c r="HZ25" s="779"/>
      <c r="IA25" s="779"/>
      <c r="IB25" s="779"/>
      <c r="IC25" s="779"/>
      <c r="ID25" s="779"/>
      <c r="IE25" s="779"/>
      <c r="IF25" s="779"/>
      <c r="IG25" s="779"/>
      <c r="IH25" s="779"/>
      <c r="II25" s="779"/>
      <c r="IJ25" s="779"/>
      <c r="IK25" s="779"/>
      <c r="IL25" s="779"/>
      <c r="IM25" s="779"/>
      <c r="IN25" s="779"/>
      <c r="IO25" s="779"/>
      <c r="IP25" s="779"/>
      <c r="IQ25" s="779"/>
      <c r="IR25" s="779"/>
      <c r="IS25" s="779"/>
      <c r="IT25" s="779"/>
      <c r="IU25" s="779"/>
      <c r="IV25" s="779"/>
    </row>
    <row r="26" spans="1:256" s="782" customFormat="1" ht="18.95" customHeight="1">
      <c r="A26" s="1205" t="s">
        <v>1529</v>
      </c>
      <c r="B26" s="1205" t="s">
        <v>1014</v>
      </c>
      <c r="C26" s="1206">
        <v>497200</v>
      </c>
      <c r="D26" s="1201">
        <v>65</v>
      </c>
      <c r="E26" s="1202">
        <f t="shared" si="2"/>
        <v>323180</v>
      </c>
      <c r="F26" s="1203">
        <v>12</v>
      </c>
      <c r="G26" s="1207">
        <f t="shared" si="0"/>
        <v>3878160</v>
      </c>
      <c r="AX26" s="779"/>
      <c r="AY26" s="779"/>
      <c r="AZ26" s="779"/>
      <c r="BA26" s="779"/>
      <c r="BB26" s="779"/>
      <c r="BC26" s="779"/>
      <c r="BD26" s="779"/>
      <c r="BE26" s="779"/>
      <c r="BF26" s="779"/>
      <c r="BG26" s="779"/>
      <c r="BH26" s="779"/>
      <c r="BI26" s="779"/>
      <c r="BJ26" s="779"/>
      <c r="BK26" s="779"/>
      <c r="BL26" s="779"/>
      <c r="BM26" s="779"/>
      <c r="BN26" s="779"/>
      <c r="BO26" s="779"/>
      <c r="BP26" s="779"/>
      <c r="BQ26" s="779"/>
      <c r="BR26" s="779"/>
      <c r="BS26" s="779"/>
      <c r="BT26" s="779"/>
      <c r="BU26" s="779"/>
      <c r="BV26" s="779"/>
      <c r="BW26" s="779"/>
      <c r="BX26" s="779"/>
      <c r="BY26" s="779"/>
      <c r="BZ26" s="779"/>
      <c r="CA26" s="779"/>
      <c r="CB26" s="779"/>
      <c r="CC26" s="779"/>
      <c r="CD26" s="779"/>
      <c r="CE26" s="779"/>
      <c r="CF26" s="779"/>
      <c r="CG26" s="779"/>
      <c r="CH26" s="779"/>
      <c r="CI26" s="779"/>
      <c r="CJ26" s="779"/>
      <c r="CK26" s="779"/>
      <c r="CL26" s="779"/>
      <c r="CM26" s="779"/>
      <c r="CN26" s="779"/>
      <c r="CO26" s="779"/>
      <c r="CP26" s="779"/>
      <c r="CQ26" s="779"/>
      <c r="CR26" s="779"/>
      <c r="CS26" s="779"/>
      <c r="CT26" s="779"/>
      <c r="CU26" s="779"/>
      <c r="CV26" s="779"/>
      <c r="CW26" s="779"/>
      <c r="CX26" s="779"/>
      <c r="CY26" s="779"/>
      <c r="CZ26" s="779"/>
      <c r="DA26" s="779"/>
      <c r="DB26" s="779"/>
      <c r="DC26" s="779"/>
      <c r="DD26" s="779"/>
      <c r="DE26" s="779"/>
      <c r="DF26" s="779"/>
      <c r="DG26" s="779"/>
      <c r="DH26" s="779"/>
      <c r="DI26" s="779"/>
      <c r="DJ26" s="779"/>
      <c r="DK26" s="779"/>
      <c r="DL26" s="779"/>
      <c r="DM26" s="779"/>
      <c r="DN26" s="779"/>
      <c r="DO26" s="779"/>
      <c r="DP26" s="779"/>
      <c r="DQ26" s="779"/>
      <c r="DR26" s="779"/>
      <c r="DS26" s="779"/>
      <c r="DT26" s="779"/>
      <c r="DU26" s="779"/>
      <c r="DV26" s="779"/>
      <c r="DW26" s="779"/>
      <c r="DX26" s="779"/>
      <c r="DY26" s="779"/>
      <c r="DZ26" s="779"/>
      <c r="EA26" s="779"/>
      <c r="EB26" s="779"/>
      <c r="EC26" s="779"/>
      <c r="ED26" s="779"/>
      <c r="EE26" s="779"/>
      <c r="EF26" s="779"/>
      <c r="EG26" s="779"/>
      <c r="EH26" s="779"/>
      <c r="EI26" s="779"/>
      <c r="EJ26" s="779"/>
      <c r="EK26" s="779"/>
      <c r="EL26" s="779"/>
      <c r="EM26" s="779"/>
      <c r="EN26" s="779"/>
      <c r="EO26" s="779"/>
      <c r="EP26" s="779"/>
      <c r="EQ26" s="779"/>
      <c r="ER26" s="779"/>
      <c r="ES26" s="779"/>
      <c r="ET26" s="779"/>
      <c r="EU26" s="779"/>
      <c r="EV26" s="779"/>
      <c r="EW26" s="779"/>
      <c r="EX26" s="779"/>
      <c r="EY26" s="779"/>
      <c r="EZ26" s="779"/>
      <c r="FA26" s="779"/>
      <c r="FB26" s="779"/>
      <c r="FC26" s="779"/>
      <c r="FD26" s="779"/>
      <c r="FE26" s="779"/>
      <c r="FF26" s="779"/>
      <c r="FG26" s="779"/>
      <c r="FH26" s="779"/>
      <c r="FI26" s="779"/>
      <c r="FJ26" s="779"/>
      <c r="FK26" s="779"/>
      <c r="FL26" s="779"/>
      <c r="FM26" s="779"/>
      <c r="FN26" s="779"/>
      <c r="FO26" s="779"/>
      <c r="FP26" s="779"/>
      <c r="FQ26" s="779"/>
      <c r="FR26" s="779"/>
      <c r="FS26" s="779"/>
      <c r="FT26" s="779"/>
      <c r="FU26" s="779"/>
      <c r="FV26" s="779"/>
      <c r="FW26" s="779"/>
      <c r="FX26" s="779"/>
      <c r="FY26" s="779"/>
      <c r="FZ26" s="779"/>
      <c r="GA26" s="779"/>
      <c r="GB26" s="779"/>
      <c r="GC26" s="779"/>
      <c r="GD26" s="779"/>
      <c r="GE26" s="779"/>
      <c r="GF26" s="779"/>
      <c r="GG26" s="779"/>
      <c r="GH26" s="779"/>
      <c r="GI26" s="779"/>
      <c r="GJ26" s="779"/>
      <c r="GK26" s="779"/>
      <c r="GL26" s="779"/>
      <c r="GM26" s="779"/>
      <c r="GN26" s="779"/>
      <c r="GO26" s="779"/>
      <c r="GP26" s="779"/>
      <c r="GQ26" s="779"/>
      <c r="GR26" s="779"/>
      <c r="GS26" s="779"/>
      <c r="GT26" s="779"/>
      <c r="GU26" s="779"/>
      <c r="GV26" s="779"/>
      <c r="GW26" s="779"/>
      <c r="GX26" s="779"/>
      <c r="GY26" s="779"/>
      <c r="GZ26" s="779"/>
      <c r="HA26" s="779"/>
      <c r="HB26" s="779"/>
      <c r="HC26" s="779"/>
      <c r="HD26" s="779"/>
      <c r="HE26" s="779"/>
      <c r="HF26" s="779"/>
      <c r="HG26" s="779"/>
      <c r="HH26" s="779"/>
      <c r="HI26" s="779"/>
      <c r="HJ26" s="779"/>
      <c r="HK26" s="779"/>
      <c r="HL26" s="779"/>
      <c r="HM26" s="779"/>
      <c r="HN26" s="779"/>
      <c r="HO26" s="779"/>
      <c r="HP26" s="779"/>
      <c r="HQ26" s="779"/>
      <c r="HR26" s="779"/>
      <c r="HS26" s="779"/>
      <c r="HT26" s="779"/>
      <c r="HU26" s="779"/>
      <c r="HV26" s="779"/>
      <c r="HW26" s="779"/>
      <c r="HX26" s="779"/>
      <c r="HY26" s="779"/>
      <c r="HZ26" s="779"/>
      <c r="IA26" s="779"/>
      <c r="IB26" s="779"/>
      <c r="IC26" s="779"/>
      <c r="ID26" s="779"/>
      <c r="IE26" s="779"/>
      <c r="IF26" s="779"/>
      <c r="IG26" s="779"/>
      <c r="IH26" s="779"/>
      <c r="II26" s="779"/>
      <c r="IJ26" s="779"/>
      <c r="IK26" s="779"/>
      <c r="IL26" s="779"/>
      <c r="IM26" s="779"/>
      <c r="IN26" s="779"/>
      <c r="IO26" s="779"/>
      <c r="IP26" s="779"/>
      <c r="IQ26" s="779"/>
      <c r="IR26" s="779"/>
      <c r="IS26" s="779"/>
      <c r="IT26" s="779"/>
      <c r="IU26" s="779"/>
      <c r="IV26" s="779"/>
    </row>
    <row r="27" spans="1:256" s="782" customFormat="1" ht="18.95" customHeight="1">
      <c r="A27" s="1205" t="s">
        <v>1530</v>
      </c>
      <c r="B27" s="1205" t="s">
        <v>1044</v>
      </c>
      <c r="C27" s="1206">
        <v>608400</v>
      </c>
      <c r="D27" s="1201">
        <v>65</v>
      </c>
      <c r="E27" s="1202">
        <f t="shared" si="2"/>
        <v>395460</v>
      </c>
      <c r="F27" s="1203">
        <v>12</v>
      </c>
      <c r="G27" s="1207">
        <f t="shared" si="0"/>
        <v>4745520</v>
      </c>
      <c r="AX27" s="779"/>
      <c r="AY27" s="779"/>
      <c r="AZ27" s="779"/>
      <c r="BA27" s="779"/>
      <c r="BB27" s="779"/>
      <c r="BC27" s="779"/>
      <c r="BD27" s="779"/>
      <c r="BE27" s="779"/>
      <c r="BF27" s="779"/>
      <c r="BG27" s="779"/>
      <c r="BH27" s="779"/>
      <c r="BI27" s="779"/>
      <c r="BJ27" s="779"/>
      <c r="BK27" s="779"/>
      <c r="BL27" s="779"/>
      <c r="BM27" s="779"/>
      <c r="BN27" s="779"/>
      <c r="BO27" s="779"/>
      <c r="BP27" s="779"/>
      <c r="BQ27" s="779"/>
      <c r="BR27" s="779"/>
      <c r="BS27" s="779"/>
      <c r="BT27" s="779"/>
      <c r="BU27" s="779"/>
      <c r="BV27" s="779"/>
      <c r="BW27" s="779"/>
      <c r="BX27" s="779"/>
      <c r="BY27" s="779"/>
      <c r="BZ27" s="779"/>
      <c r="CA27" s="779"/>
      <c r="CB27" s="779"/>
      <c r="CC27" s="779"/>
      <c r="CD27" s="779"/>
      <c r="CE27" s="779"/>
      <c r="CF27" s="779"/>
      <c r="CG27" s="779"/>
      <c r="CH27" s="779"/>
      <c r="CI27" s="779"/>
      <c r="CJ27" s="779"/>
      <c r="CK27" s="779"/>
      <c r="CL27" s="779"/>
      <c r="CM27" s="779"/>
      <c r="CN27" s="779"/>
      <c r="CO27" s="779"/>
      <c r="CP27" s="779"/>
      <c r="CQ27" s="779"/>
      <c r="CR27" s="779"/>
      <c r="CS27" s="779"/>
      <c r="CT27" s="779"/>
      <c r="CU27" s="779"/>
      <c r="CV27" s="779"/>
      <c r="CW27" s="779"/>
      <c r="CX27" s="779"/>
      <c r="CY27" s="779"/>
      <c r="CZ27" s="779"/>
      <c r="DA27" s="779"/>
      <c r="DB27" s="779"/>
      <c r="DC27" s="779"/>
      <c r="DD27" s="779"/>
      <c r="DE27" s="779"/>
      <c r="DF27" s="779"/>
      <c r="DG27" s="779"/>
      <c r="DH27" s="779"/>
      <c r="DI27" s="779"/>
      <c r="DJ27" s="779"/>
      <c r="DK27" s="779"/>
      <c r="DL27" s="779"/>
      <c r="DM27" s="779"/>
      <c r="DN27" s="779"/>
      <c r="DO27" s="779"/>
      <c r="DP27" s="779"/>
      <c r="DQ27" s="779"/>
      <c r="DR27" s="779"/>
      <c r="DS27" s="779"/>
      <c r="DT27" s="779"/>
      <c r="DU27" s="779"/>
      <c r="DV27" s="779"/>
      <c r="DW27" s="779"/>
      <c r="DX27" s="779"/>
      <c r="DY27" s="779"/>
      <c r="DZ27" s="779"/>
      <c r="EA27" s="779"/>
      <c r="EB27" s="779"/>
      <c r="EC27" s="779"/>
      <c r="ED27" s="779"/>
      <c r="EE27" s="779"/>
      <c r="EF27" s="779"/>
      <c r="EG27" s="779"/>
      <c r="EH27" s="779"/>
      <c r="EI27" s="779"/>
      <c r="EJ27" s="779"/>
      <c r="EK27" s="779"/>
      <c r="EL27" s="779"/>
      <c r="EM27" s="779"/>
      <c r="EN27" s="779"/>
      <c r="EO27" s="779"/>
      <c r="EP27" s="779"/>
      <c r="EQ27" s="779"/>
      <c r="ER27" s="779"/>
      <c r="ES27" s="779"/>
      <c r="ET27" s="779"/>
      <c r="EU27" s="779"/>
      <c r="EV27" s="779"/>
      <c r="EW27" s="779"/>
      <c r="EX27" s="779"/>
      <c r="EY27" s="779"/>
      <c r="EZ27" s="779"/>
      <c r="FA27" s="779"/>
      <c r="FB27" s="779"/>
      <c r="FC27" s="779"/>
      <c r="FD27" s="779"/>
      <c r="FE27" s="779"/>
      <c r="FF27" s="779"/>
      <c r="FG27" s="779"/>
      <c r="FH27" s="779"/>
      <c r="FI27" s="779"/>
      <c r="FJ27" s="779"/>
      <c r="FK27" s="779"/>
      <c r="FL27" s="779"/>
      <c r="FM27" s="779"/>
      <c r="FN27" s="779"/>
      <c r="FO27" s="779"/>
      <c r="FP27" s="779"/>
      <c r="FQ27" s="779"/>
      <c r="FR27" s="779"/>
      <c r="FS27" s="779"/>
      <c r="FT27" s="779"/>
      <c r="FU27" s="779"/>
      <c r="FV27" s="779"/>
      <c r="FW27" s="779"/>
      <c r="FX27" s="779"/>
      <c r="FY27" s="779"/>
      <c r="FZ27" s="779"/>
      <c r="GA27" s="779"/>
      <c r="GB27" s="779"/>
      <c r="GC27" s="779"/>
      <c r="GD27" s="779"/>
      <c r="GE27" s="779"/>
      <c r="GF27" s="779"/>
      <c r="GG27" s="779"/>
      <c r="GH27" s="779"/>
      <c r="GI27" s="779"/>
      <c r="GJ27" s="779"/>
      <c r="GK27" s="779"/>
      <c r="GL27" s="779"/>
      <c r="GM27" s="779"/>
      <c r="GN27" s="779"/>
      <c r="GO27" s="779"/>
      <c r="GP27" s="779"/>
      <c r="GQ27" s="779"/>
      <c r="GR27" s="779"/>
      <c r="GS27" s="779"/>
      <c r="GT27" s="779"/>
      <c r="GU27" s="779"/>
      <c r="GV27" s="779"/>
      <c r="GW27" s="779"/>
      <c r="GX27" s="779"/>
      <c r="GY27" s="779"/>
      <c r="GZ27" s="779"/>
      <c r="HA27" s="779"/>
      <c r="HB27" s="779"/>
      <c r="HC27" s="779"/>
      <c r="HD27" s="779"/>
      <c r="HE27" s="779"/>
      <c r="HF27" s="779"/>
      <c r="HG27" s="779"/>
      <c r="HH27" s="779"/>
      <c r="HI27" s="779"/>
      <c r="HJ27" s="779"/>
      <c r="HK27" s="779"/>
      <c r="HL27" s="779"/>
      <c r="HM27" s="779"/>
      <c r="HN27" s="779"/>
      <c r="HO27" s="779"/>
      <c r="HP27" s="779"/>
      <c r="HQ27" s="779"/>
      <c r="HR27" s="779"/>
      <c r="HS27" s="779"/>
      <c r="HT27" s="779"/>
      <c r="HU27" s="779"/>
      <c r="HV27" s="779"/>
      <c r="HW27" s="779"/>
      <c r="HX27" s="779"/>
      <c r="HY27" s="779"/>
      <c r="HZ27" s="779"/>
      <c r="IA27" s="779"/>
      <c r="IB27" s="779"/>
      <c r="IC27" s="779"/>
      <c r="ID27" s="779"/>
      <c r="IE27" s="779"/>
      <c r="IF27" s="779"/>
      <c r="IG27" s="779"/>
      <c r="IH27" s="779"/>
      <c r="II27" s="779"/>
      <c r="IJ27" s="779"/>
      <c r="IK27" s="779"/>
      <c r="IL27" s="779"/>
      <c r="IM27" s="779"/>
      <c r="IN27" s="779"/>
      <c r="IO27" s="779"/>
      <c r="IP27" s="779"/>
      <c r="IQ27" s="779"/>
      <c r="IR27" s="779"/>
      <c r="IS27" s="779"/>
      <c r="IT27" s="779"/>
      <c r="IU27" s="779"/>
      <c r="IV27" s="779"/>
    </row>
    <row r="28" spans="1:256" s="782" customFormat="1" ht="18.95" customHeight="1">
      <c r="A28" s="1211" t="s">
        <v>1531</v>
      </c>
      <c r="B28" s="1205" t="s">
        <v>1014</v>
      </c>
      <c r="C28" s="1206">
        <v>497200</v>
      </c>
      <c r="D28" s="1201">
        <v>65</v>
      </c>
      <c r="E28" s="1202">
        <f t="shared" si="2"/>
        <v>323180</v>
      </c>
      <c r="F28" s="1203">
        <v>12</v>
      </c>
      <c r="G28" s="1207">
        <f t="shared" si="0"/>
        <v>3878160</v>
      </c>
      <c r="AX28" s="779"/>
      <c r="AY28" s="779"/>
      <c r="AZ28" s="779"/>
      <c r="BA28" s="779"/>
      <c r="BB28" s="779"/>
      <c r="BC28" s="779"/>
      <c r="BD28" s="779"/>
      <c r="BE28" s="779"/>
      <c r="BF28" s="779"/>
      <c r="BG28" s="779"/>
      <c r="BH28" s="779"/>
      <c r="BI28" s="779"/>
      <c r="BJ28" s="779"/>
      <c r="BK28" s="779"/>
      <c r="BL28" s="779"/>
      <c r="BM28" s="779"/>
      <c r="BN28" s="779"/>
      <c r="BO28" s="779"/>
      <c r="BP28" s="779"/>
      <c r="BQ28" s="779"/>
      <c r="BR28" s="779"/>
      <c r="BS28" s="779"/>
      <c r="BT28" s="779"/>
      <c r="BU28" s="779"/>
      <c r="BV28" s="779"/>
      <c r="BW28" s="779"/>
      <c r="BX28" s="779"/>
      <c r="BY28" s="779"/>
      <c r="BZ28" s="779"/>
      <c r="CA28" s="779"/>
      <c r="CB28" s="779"/>
      <c r="CC28" s="779"/>
      <c r="CD28" s="779"/>
      <c r="CE28" s="779"/>
      <c r="CF28" s="779"/>
      <c r="CG28" s="779"/>
      <c r="CH28" s="779"/>
      <c r="CI28" s="779"/>
      <c r="CJ28" s="779"/>
      <c r="CK28" s="779"/>
      <c r="CL28" s="779"/>
      <c r="CM28" s="779"/>
      <c r="CN28" s="779"/>
      <c r="CO28" s="779"/>
      <c r="CP28" s="779"/>
      <c r="CQ28" s="779"/>
      <c r="CR28" s="779"/>
      <c r="CS28" s="779"/>
      <c r="CT28" s="779"/>
      <c r="CU28" s="779"/>
      <c r="CV28" s="779"/>
      <c r="CW28" s="779"/>
      <c r="CX28" s="779"/>
      <c r="CY28" s="779"/>
      <c r="CZ28" s="779"/>
      <c r="DA28" s="779"/>
      <c r="DB28" s="779"/>
      <c r="DC28" s="779"/>
      <c r="DD28" s="779"/>
      <c r="DE28" s="779"/>
      <c r="DF28" s="779"/>
      <c r="DG28" s="779"/>
      <c r="DH28" s="779"/>
      <c r="DI28" s="779"/>
      <c r="DJ28" s="779"/>
      <c r="DK28" s="779"/>
      <c r="DL28" s="779"/>
      <c r="DM28" s="779"/>
      <c r="DN28" s="779"/>
      <c r="DO28" s="779"/>
      <c r="DP28" s="779"/>
      <c r="DQ28" s="779"/>
      <c r="DR28" s="779"/>
      <c r="DS28" s="779"/>
      <c r="DT28" s="779"/>
      <c r="DU28" s="779"/>
      <c r="DV28" s="779"/>
      <c r="DW28" s="779"/>
      <c r="DX28" s="779"/>
      <c r="DY28" s="779"/>
      <c r="DZ28" s="779"/>
      <c r="EA28" s="779"/>
      <c r="EB28" s="779"/>
      <c r="EC28" s="779"/>
      <c r="ED28" s="779"/>
      <c r="EE28" s="779"/>
      <c r="EF28" s="779"/>
      <c r="EG28" s="779"/>
      <c r="EH28" s="779"/>
      <c r="EI28" s="779"/>
      <c r="EJ28" s="779"/>
      <c r="EK28" s="779"/>
      <c r="EL28" s="779"/>
      <c r="EM28" s="779"/>
      <c r="EN28" s="779"/>
      <c r="EO28" s="779"/>
      <c r="EP28" s="779"/>
      <c r="EQ28" s="779"/>
      <c r="ER28" s="779"/>
      <c r="ES28" s="779"/>
      <c r="ET28" s="779"/>
      <c r="EU28" s="779"/>
      <c r="EV28" s="779"/>
      <c r="EW28" s="779"/>
      <c r="EX28" s="779"/>
      <c r="EY28" s="779"/>
      <c r="EZ28" s="779"/>
      <c r="FA28" s="779"/>
      <c r="FB28" s="779"/>
      <c r="FC28" s="779"/>
      <c r="FD28" s="779"/>
      <c r="FE28" s="779"/>
      <c r="FF28" s="779"/>
      <c r="FG28" s="779"/>
      <c r="FH28" s="779"/>
      <c r="FI28" s="779"/>
      <c r="FJ28" s="779"/>
      <c r="FK28" s="779"/>
      <c r="FL28" s="779"/>
      <c r="FM28" s="779"/>
      <c r="FN28" s="779"/>
      <c r="FO28" s="779"/>
      <c r="FP28" s="779"/>
      <c r="FQ28" s="779"/>
      <c r="FR28" s="779"/>
      <c r="FS28" s="779"/>
      <c r="FT28" s="779"/>
      <c r="FU28" s="779"/>
      <c r="FV28" s="779"/>
      <c r="FW28" s="779"/>
      <c r="FX28" s="779"/>
      <c r="FY28" s="779"/>
      <c r="FZ28" s="779"/>
      <c r="GA28" s="779"/>
      <c r="GB28" s="779"/>
      <c r="GC28" s="779"/>
      <c r="GD28" s="779"/>
      <c r="GE28" s="779"/>
      <c r="GF28" s="779"/>
      <c r="GG28" s="779"/>
      <c r="GH28" s="779"/>
      <c r="GI28" s="779"/>
      <c r="GJ28" s="779"/>
      <c r="GK28" s="779"/>
      <c r="GL28" s="779"/>
      <c r="GM28" s="779"/>
      <c r="GN28" s="779"/>
      <c r="GO28" s="779"/>
      <c r="GP28" s="779"/>
      <c r="GQ28" s="779"/>
      <c r="GR28" s="779"/>
      <c r="GS28" s="779"/>
      <c r="GT28" s="779"/>
      <c r="GU28" s="779"/>
      <c r="GV28" s="779"/>
      <c r="GW28" s="779"/>
      <c r="GX28" s="779"/>
      <c r="GY28" s="779"/>
      <c r="GZ28" s="779"/>
      <c r="HA28" s="779"/>
      <c r="HB28" s="779"/>
      <c r="HC28" s="779"/>
      <c r="HD28" s="779"/>
      <c r="HE28" s="779"/>
      <c r="HF28" s="779"/>
      <c r="HG28" s="779"/>
      <c r="HH28" s="779"/>
      <c r="HI28" s="779"/>
      <c r="HJ28" s="779"/>
      <c r="HK28" s="779"/>
      <c r="HL28" s="779"/>
      <c r="HM28" s="779"/>
      <c r="HN28" s="779"/>
      <c r="HO28" s="779"/>
      <c r="HP28" s="779"/>
      <c r="HQ28" s="779"/>
      <c r="HR28" s="779"/>
      <c r="HS28" s="779"/>
      <c r="HT28" s="779"/>
      <c r="HU28" s="779"/>
      <c r="HV28" s="779"/>
      <c r="HW28" s="779"/>
      <c r="HX28" s="779"/>
      <c r="HY28" s="779"/>
      <c r="HZ28" s="779"/>
      <c r="IA28" s="779"/>
      <c r="IB28" s="779"/>
      <c r="IC28" s="779"/>
      <c r="ID28" s="779"/>
      <c r="IE28" s="779"/>
      <c r="IF28" s="779"/>
      <c r="IG28" s="779"/>
      <c r="IH28" s="779"/>
      <c r="II28" s="779"/>
      <c r="IJ28" s="779"/>
      <c r="IK28" s="779"/>
      <c r="IL28" s="779"/>
      <c r="IM28" s="779"/>
      <c r="IN28" s="779"/>
      <c r="IO28" s="779"/>
      <c r="IP28" s="779"/>
      <c r="IQ28" s="779"/>
      <c r="IR28" s="779"/>
      <c r="IS28" s="779"/>
      <c r="IT28" s="779"/>
      <c r="IU28" s="779"/>
      <c r="IV28" s="779"/>
    </row>
    <row r="29" spans="1:256" s="782" customFormat="1" ht="18.95" customHeight="1">
      <c r="A29" s="1205" t="s">
        <v>1282</v>
      </c>
      <c r="B29" s="1205" t="s">
        <v>1283</v>
      </c>
      <c r="C29" s="1206">
        <v>497200</v>
      </c>
      <c r="D29" s="1201">
        <v>65</v>
      </c>
      <c r="E29" s="1202">
        <f t="shared" si="2"/>
        <v>323180</v>
      </c>
      <c r="F29" s="1203">
        <v>12</v>
      </c>
      <c r="G29" s="1207">
        <f t="shared" si="0"/>
        <v>3878160</v>
      </c>
      <c r="AX29" s="779"/>
      <c r="AY29" s="779"/>
      <c r="AZ29" s="779"/>
      <c r="BA29" s="779"/>
      <c r="BB29" s="779"/>
      <c r="BC29" s="779"/>
      <c r="BD29" s="779"/>
      <c r="BE29" s="779"/>
      <c r="BF29" s="779"/>
      <c r="BG29" s="779"/>
      <c r="BH29" s="779"/>
      <c r="BI29" s="779"/>
      <c r="BJ29" s="779"/>
      <c r="BK29" s="779"/>
      <c r="BL29" s="779"/>
      <c r="BM29" s="779"/>
      <c r="BN29" s="779"/>
      <c r="BO29" s="779"/>
      <c r="BP29" s="779"/>
      <c r="BQ29" s="779"/>
      <c r="BR29" s="779"/>
      <c r="BS29" s="779"/>
      <c r="BT29" s="779"/>
      <c r="BU29" s="779"/>
      <c r="BV29" s="779"/>
      <c r="BW29" s="779"/>
      <c r="BX29" s="779"/>
      <c r="BY29" s="779"/>
      <c r="BZ29" s="779"/>
      <c r="CA29" s="779"/>
      <c r="CB29" s="779"/>
      <c r="CC29" s="779"/>
      <c r="CD29" s="779"/>
      <c r="CE29" s="779"/>
      <c r="CF29" s="779"/>
      <c r="CG29" s="779"/>
      <c r="CH29" s="779"/>
      <c r="CI29" s="779"/>
      <c r="CJ29" s="779"/>
      <c r="CK29" s="779"/>
      <c r="CL29" s="779"/>
      <c r="CM29" s="779"/>
      <c r="CN29" s="779"/>
      <c r="CO29" s="779"/>
      <c r="CP29" s="779"/>
      <c r="CQ29" s="779"/>
      <c r="CR29" s="779"/>
      <c r="CS29" s="779"/>
      <c r="CT29" s="779"/>
      <c r="CU29" s="779"/>
      <c r="CV29" s="779"/>
      <c r="CW29" s="779"/>
      <c r="CX29" s="779"/>
      <c r="CY29" s="779"/>
      <c r="CZ29" s="779"/>
      <c r="DA29" s="779"/>
      <c r="DB29" s="779"/>
      <c r="DC29" s="779"/>
      <c r="DD29" s="779"/>
      <c r="DE29" s="779"/>
      <c r="DF29" s="779"/>
      <c r="DG29" s="779"/>
      <c r="DH29" s="779"/>
      <c r="DI29" s="779"/>
      <c r="DJ29" s="779"/>
      <c r="DK29" s="779"/>
      <c r="DL29" s="779"/>
      <c r="DM29" s="779"/>
      <c r="DN29" s="779"/>
      <c r="DO29" s="779"/>
      <c r="DP29" s="779"/>
      <c r="DQ29" s="779"/>
      <c r="DR29" s="779"/>
      <c r="DS29" s="779"/>
      <c r="DT29" s="779"/>
      <c r="DU29" s="779"/>
      <c r="DV29" s="779"/>
      <c r="DW29" s="779"/>
      <c r="DX29" s="779"/>
      <c r="DY29" s="779"/>
      <c r="DZ29" s="779"/>
      <c r="EA29" s="779"/>
      <c r="EB29" s="779"/>
      <c r="EC29" s="779"/>
      <c r="ED29" s="779"/>
      <c r="EE29" s="779"/>
      <c r="EF29" s="779"/>
      <c r="EG29" s="779"/>
      <c r="EH29" s="779"/>
      <c r="EI29" s="779"/>
      <c r="EJ29" s="779"/>
      <c r="EK29" s="779"/>
      <c r="EL29" s="779"/>
      <c r="EM29" s="779"/>
      <c r="EN29" s="779"/>
      <c r="EO29" s="779"/>
      <c r="EP29" s="779"/>
      <c r="EQ29" s="779"/>
      <c r="ER29" s="779"/>
      <c r="ES29" s="779"/>
      <c r="ET29" s="779"/>
      <c r="EU29" s="779"/>
      <c r="EV29" s="779"/>
      <c r="EW29" s="779"/>
      <c r="EX29" s="779"/>
      <c r="EY29" s="779"/>
      <c r="EZ29" s="779"/>
      <c r="FA29" s="779"/>
      <c r="FB29" s="779"/>
      <c r="FC29" s="779"/>
      <c r="FD29" s="779"/>
      <c r="FE29" s="779"/>
      <c r="FF29" s="779"/>
      <c r="FG29" s="779"/>
      <c r="FH29" s="779"/>
      <c r="FI29" s="779"/>
      <c r="FJ29" s="779"/>
      <c r="FK29" s="779"/>
      <c r="FL29" s="779"/>
      <c r="FM29" s="779"/>
      <c r="FN29" s="779"/>
      <c r="FO29" s="779"/>
      <c r="FP29" s="779"/>
      <c r="FQ29" s="779"/>
      <c r="FR29" s="779"/>
      <c r="FS29" s="779"/>
      <c r="FT29" s="779"/>
      <c r="FU29" s="779"/>
      <c r="FV29" s="779"/>
      <c r="FW29" s="779"/>
      <c r="FX29" s="779"/>
      <c r="FY29" s="779"/>
      <c r="FZ29" s="779"/>
      <c r="GA29" s="779"/>
      <c r="GB29" s="779"/>
      <c r="GC29" s="779"/>
      <c r="GD29" s="779"/>
      <c r="GE29" s="779"/>
      <c r="GF29" s="779"/>
      <c r="GG29" s="779"/>
      <c r="GH29" s="779"/>
      <c r="GI29" s="779"/>
      <c r="GJ29" s="779"/>
      <c r="GK29" s="779"/>
      <c r="GL29" s="779"/>
      <c r="GM29" s="779"/>
      <c r="GN29" s="779"/>
      <c r="GO29" s="779"/>
      <c r="GP29" s="779"/>
      <c r="GQ29" s="779"/>
      <c r="GR29" s="779"/>
      <c r="GS29" s="779"/>
      <c r="GT29" s="779"/>
      <c r="GU29" s="779"/>
      <c r="GV29" s="779"/>
      <c r="GW29" s="779"/>
      <c r="GX29" s="779"/>
      <c r="GY29" s="779"/>
      <c r="GZ29" s="779"/>
      <c r="HA29" s="779"/>
      <c r="HB29" s="779"/>
      <c r="HC29" s="779"/>
      <c r="HD29" s="779"/>
      <c r="HE29" s="779"/>
      <c r="HF29" s="779"/>
      <c r="HG29" s="779"/>
      <c r="HH29" s="779"/>
      <c r="HI29" s="779"/>
      <c r="HJ29" s="779"/>
      <c r="HK29" s="779"/>
      <c r="HL29" s="779"/>
      <c r="HM29" s="779"/>
      <c r="HN29" s="779"/>
      <c r="HO29" s="779"/>
      <c r="HP29" s="779"/>
      <c r="HQ29" s="779"/>
      <c r="HR29" s="779"/>
      <c r="HS29" s="779"/>
      <c r="HT29" s="779"/>
      <c r="HU29" s="779"/>
      <c r="HV29" s="779"/>
      <c r="HW29" s="779"/>
      <c r="HX29" s="779"/>
      <c r="HY29" s="779"/>
      <c r="HZ29" s="779"/>
      <c r="IA29" s="779"/>
      <c r="IB29" s="779"/>
      <c r="IC29" s="779"/>
      <c r="ID29" s="779"/>
      <c r="IE29" s="779"/>
      <c r="IF29" s="779"/>
      <c r="IG29" s="779"/>
      <c r="IH29" s="779"/>
      <c r="II29" s="779"/>
      <c r="IJ29" s="779"/>
      <c r="IK29" s="779"/>
      <c r="IL29" s="779"/>
      <c r="IM29" s="779"/>
      <c r="IN29" s="779"/>
      <c r="IO29" s="779"/>
      <c r="IP29" s="779"/>
      <c r="IQ29" s="779"/>
      <c r="IR29" s="779"/>
      <c r="IS29" s="779"/>
      <c r="IT29" s="779"/>
      <c r="IU29" s="779"/>
      <c r="IV29" s="779"/>
    </row>
    <row r="30" spans="1:256" s="782" customFormat="1" ht="18.95" customHeight="1">
      <c r="A30" s="1205" t="s">
        <v>269</v>
      </c>
      <c r="B30" s="1205" t="s">
        <v>1046</v>
      </c>
      <c r="C30" s="1206">
        <v>483100</v>
      </c>
      <c r="D30" s="1201">
        <v>30</v>
      </c>
      <c r="E30" s="1202">
        <f t="shared" si="2"/>
        <v>144930</v>
      </c>
      <c r="F30" s="1203">
        <v>12</v>
      </c>
      <c r="G30" s="1207">
        <f t="shared" si="0"/>
        <v>1739160</v>
      </c>
      <c r="AX30" s="779"/>
      <c r="AY30" s="779"/>
      <c r="AZ30" s="779"/>
      <c r="BA30" s="779"/>
      <c r="BB30" s="779"/>
      <c r="BC30" s="779"/>
      <c r="BD30" s="779"/>
      <c r="BE30" s="779"/>
      <c r="BF30" s="779"/>
      <c r="BG30" s="779"/>
      <c r="BH30" s="779"/>
      <c r="BI30" s="779"/>
      <c r="BJ30" s="779"/>
      <c r="BK30" s="779"/>
      <c r="BL30" s="779"/>
      <c r="BM30" s="779"/>
      <c r="BN30" s="779"/>
      <c r="BO30" s="779"/>
      <c r="BP30" s="779"/>
      <c r="BQ30" s="779"/>
      <c r="BR30" s="779"/>
      <c r="BS30" s="779"/>
      <c r="BT30" s="779"/>
      <c r="BU30" s="779"/>
      <c r="BV30" s="779"/>
      <c r="BW30" s="779"/>
      <c r="BX30" s="779"/>
      <c r="BY30" s="779"/>
      <c r="BZ30" s="779"/>
      <c r="CA30" s="779"/>
      <c r="CB30" s="779"/>
      <c r="CC30" s="779"/>
      <c r="CD30" s="779"/>
      <c r="CE30" s="779"/>
      <c r="CF30" s="779"/>
      <c r="CG30" s="779"/>
      <c r="CH30" s="779"/>
      <c r="CI30" s="779"/>
      <c r="CJ30" s="779"/>
      <c r="CK30" s="779"/>
      <c r="CL30" s="779"/>
      <c r="CM30" s="779"/>
      <c r="CN30" s="779"/>
      <c r="CO30" s="779"/>
      <c r="CP30" s="779"/>
      <c r="CQ30" s="779"/>
      <c r="CR30" s="779"/>
      <c r="CS30" s="779"/>
      <c r="CT30" s="779"/>
      <c r="CU30" s="779"/>
      <c r="CV30" s="779"/>
      <c r="CW30" s="779"/>
      <c r="CX30" s="779"/>
      <c r="CY30" s="779"/>
      <c r="CZ30" s="779"/>
      <c r="DA30" s="779"/>
      <c r="DB30" s="779"/>
      <c r="DC30" s="779"/>
      <c r="DD30" s="779"/>
      <c r="DE30" s="779"/>
      <c r="DF30" s="779"/>
      <c r="DG30" s="779"/>
      <c r="DH30" s="779"/>
      <c r="DI30" s="779"/>
      <c r="DJ30" s="779"/>
      <c r="DK30" s="779"/>
      <c r="DL30" s="779"/>
      <c r="DM30" s="779"/>
      <c r="DN30" s="779"/>
      <c r="DO30" s="779"/>
      <c r="DP30" s="779"/>
      <c r="DQ30" s="779"/>
      <c r="DR30" s="779"/>
      <c r="DS30" s="779"/>
      <c r="DT30" s="779"/>
      <c r="DU30" s="779"/>
      <c r="DV30" s="779"/>
      <c r="DW30" s="779"/>
      <c r="DX30" s="779"/>
      <c r="DY30" s="779"/>
      <c r="DZ30" s="779"/>
      <c r="EA30" s="779"/>
      <c r="EB30" s="779"/>
      <c r="EC30" s="779"/>
      <c r="ED30" s="779"/>
      <c r="EE30" s="779"/>
      <c r="EF30" s="779"/>
      <c r="EG30" s="779"/>
      <c r="EH30" s="779"/>
      <c r="EI30" s="779"/>
      <c r="EJ30" s="779"/>
      <c r="EK30" s="779"/>
      <c r="EL30" s="779"/>
      <c r="EM30" s="779"/>
      <c r="EN30" s="779"/>
      <c r="EO30" s="779"/>
      <c r="EP30" s="779"/>
      <c r="EQ30" s="779"/>
      <c r="ER30" s="779"/>
      <c r="ES30" s="779"/>
      <c r="ET30" s="779"/>
      <c r="EU30" s="779"/>
      <c r="EV30" s="779"/>
      <c r="EW30" s="779"/>
      <c r="EX30" s="779"/>
      <c r="EY30" s="779"/>
      <c r="EZ30" s="779"/>
      <c r="FA30" s="779"/>
      <c r="FB30" s="779"/>
      <c r="FC30" s="779"/>
      <c r="FD30" s="779"/>
      <c r="FE30" s="779"/>
      <c r="FF30" s="779"/>
      <c r="FG30" s="779"/>
      <c r="FH30" s="779"/>
      <c r="FI30" s="779"/>
      <c r="FJ30" s="779"/>
      <c r="FK30" s="779"/>
      <c r="FL30" s="779"/>
      <c r="FM30" s="779"/>
      <c r="FN30" s="779"/>
      <c r="FO30" s="779"/>
      <c r="FP30" s="779"/>
      <c r="FQ30" s="779"/>
      <c r="FR30" s="779"/>
      <c r="FS30" s="779"/>
      <c r="FT30" s="779"/>
      <c r="FU30" s="779"/>
      <c r="FV30" s="779"/>
      <c r="FW30" s="779"/>
      <c r="FX30" s="779"/>
      <c r="FY30" s="779"/>
      <c r="FZ30" s="779"/>
      <c r="GA30" s="779"/>
      <c r="GB30" s="779"/>
      <c r="GC30" s="779"/>
      <c r="GD30" s="779"/>
      <c r="GE30" s="779"/>
      <c r="GF30" s="779"/>
      <c r="GG30" s="779"/>
      <c r="GH30" s="779"/>
      <c r="GI30" s="779"/>
      <c r="GJ30" s="779"/>
      <c r="GK30" s="779"/>
      <c r="GL30" s="779"/>
      <c r="GM30" s="779"/>
      <c r="GN30" s="779"/>
      <c r="GO30" s="779"/>
      <c r="GP30" s="779"/>
      <c r="GQ30" s="779"/>
      <c r="GR30" s="779"/>
      <c r="GS30" s="779"/>
      <c r="GT30" s="779"/>
      <c r="GU30" s="779"/>
      <c r="GV30" s="779"/>
      <c r="GW30" s="779"/>
      <c r="GX30" s="779"/>
      <c r="GY30" s="779"/>
      <c r="GZ30" s="779"/>
      <c r="HA30" s="779"/>
      <c r="HB30" s="779"/>
      <c r="HC30" s="779"/>
      <c r="HD30" s="779"/>
      <c r="HE30" s="779"/>
      <c r="HF30" s="779"/>
      <c r="HG30" s="779"/>
      <c r="HH30" s="779"/>
      <c r="HI30" s="779"/>
      <c r="HJ30" s="779"/>
      <c r="HK30" s="779"/>
      <c r="HL30" s="779"/>
      <c r="HM30" s="779"/>
      <c r="HN30" s="779"/>
      <c r="HO30" s="779"/>
      <c r="HP30" s="779"/>
      <c r="HQ30" s="779"/>
      <c r="HR30" s="779"/>
      <c r="HS30" s="779"/>
      <c r="HT30" s="779"/>
      <c r="HU30" s="779"/>
      <c r="HV30" s="779"/>
      <c r="HW30" s="779"/>
      <c r="HX30" s="779"/>
      <c r="HY30" s="779"/>
      <c r="HZ30" s="779"/>
      <c r="IA30" s="779"/>
      <c r="IB30" s="779"/>
      <c r="IC30" s="779"/>
      <c r="ID30" s="779"/>
      <c r="IE30" s="779"/>
      <c r="IF30" s="779"/>
      <c r="IG30" s="779"/>
      <c r="IH30" s="779"/>
      <c r="II30" s="779"/>
      <c r="IJ30" s="779"/>
      <c r="IK30" s="779"/>
      <c r="IL30" s="779"/>
      <c r="IM30" s="779"/>
      <c r="IN30" s="779"/>
      <c r="IO30" s="779"/>
      <c r="IP30" s="779"/>
      <c r="IQ30" s="779"/>
      <c r="IR30" s="779"/>
      <c r="IS30" s="779"/>
      <c r="IT30" s="779"/>
      <c r="IU30" s="779"/>
      <c r="IV30" s="779"/>
    </row>
    <row r="31" spans="1:256" s="782" customFormat="1" ht="18.95" customHeight="1">
      <c r="A31" s="1205" t="s">
        <v>268</v>
      </c>
      <c r="B31" s="1205" t="s">
        <v>1046</v>
      </c>
      <c r="C31" s="1206">
        <v>483100</v>
      </c>
      <c r="D31" s="1201">
        <v>30</v>
      </c>
      <c r="E31" s="1202">
        <f t="shared" si="2"/>
        <v>144930</v>
      </c>
      <c r="F31" s="1203">
        <v>12</v>
      </c>
      <c r="G31" s="1207">
        <f t="shared" si="0"/>
        <v>1739160</v>
      </c>
      <c r="AX31" s="779"/>
      <c r="AY31" s="779"/>
      <c r="AZ31" s="779"/>
      <c r="BA31" s="779"/>
      <c r="BB31" s="779"/>
      <c r="BC31" s="779"/>
      <c r="BD31" s="779"/>
      <c r="BE31" s="779"/>
      <c r="BF31" s="779"/>
      <c r="BG31" s="779"/>
      <c r="BH31" s="779"/>
      <c r="BI31" s="779"/>
      <c r="BJ31" s="779"/>
      <c r="BK31" s="779"/>
      <c r="BL31" s="779"/>
      <c r="BM31" s="779"/>
      <c r="BN31" s="779"/>
      <c r="BO31" s="779"/>
      <c r="BP31" s="779"/>
      <c r="BQ31" s="779"/>
      <c r="BR31" s="779"/>
      <c r="BS31" s="779"/>
      <c r="BT31" s="779"/>
      <c r="BU31" s="779"/>
      <c r="BV31" s="779"/>
      <c r="BW31" s="779"/>
      <c r="BX31" s="779"/>
      <c r="BY31" s="779"/>
      <c r="BZ31" s="779"/>
      <c r="CA31" s="779"/>
      <c r="CB31" s="779"/>
      <c r="CC31" s="779"/>
      <c r="CD31" s="779"/>
      <c r="CE31" s="779"/>
      <c r="CF31" s="779"/>
      <c r="CG31" s="779"/>
      <c r="CH31" s="779"/>
      <c r="CI31" s="779"/>
      <c r="CJ31" s="779"/>
      <c r="CK31" s="779"/>
      <c r="CL31" s="779"/>
      <c r="CM31" s="779"/>
      <c r="CN31" s="779"/>
      <c r="CO31" s="779"/>
      <c r="CP31" s="779"/>
      <c r="CQ31" s="779"/>
      <c r="CR31" s="779"/>
      <c r="CS31" s="779"/>
      <c r="CT31" s="779"/>
      <c r="CU31" s="779"/>
      <c r="CV31" s="779"/>
      <c r="CW31" s="779"/>
      <c r="CX31" s="779"/>
      <c r="CY31" s="779"/>
      <c r="CZ31" s="779"/>
      <c r="DA31" s="779"/>
      <c r="DB31" s="779"/>
      <c r="DC31" s="779"/>
      <c r="DD31" s="779"/>
      <c r="DE31" s="779"/>
      <c r="DF31" s="779"/>
      <c r="DG31" s="779"/>
      <c r="DH31" s="779"/>
      <c r="DI31" s="779"/>
      <c r="DJ31" s="779"/>
      <c r="DK31" s="779"/>
      <c r="DL31" s="779"/>
      <c r="DM31" s="779"/>
      <c r="DN31" s="779"/>
      <c r="DO31" s="779"/>
      <c r="DP31" s="779"/>
      <c r="DQ31" s="779"/>
      <c r="DR31" s="779"/>
      <c r="DS31" s="779"/>
      <c r="DT31" s="779"/>
      <c r="DU31" s="779"/>
      <c r="DV31" s="779"/>
      <c r="DW31" s="779"/>
      <c r="DX31" s="779"/>
      <c r="DY31" s="779"/>
      <c r="DZ31" s="779"/>
      <c r="EA31" s="779"/>
      <c r="EB31" s="779"/>
      <c r="EC31" s="779"/>
      <c r="ED31" s="779"/>
      <c r="EE31" s="779"/>
      <c r="EF31" s="779"/>
      <c r="EG31" s="779"/>
      <c r="EH31" s="779"/>
      <c r="EI31" s="779"/>
      <c r="EJ31" s="779"/>
      <c r="EK31" s="779"/>
      <c r="EL31" s="779"/>
      <c r="EM31" s="779"/>
      <c r="EN31" s="779"/>
      <c r="EO31" s="779"/>
      <c r="EP31" s="779"/>
      <c r="EQ31" s="779"/>
      <c r="ER31" s="779"/>
      <c r="ES31" s="779"/>
      <c r="ET31" s="779"/>
      <c r="EU31" s="779"/>
      <c r="EV31" s="779"/>
      <c r="EW31" s="779"/>
      <c r="EX31" s="779"/>
      <c r="EY31" s="779"/>
      <c r="EZ31" s="779"/>
      <c r="FA31" s="779"/>
      <c r="FB31" s="779"/>
      <c r="FC31" s="779"/>
      <c r="FD31" s="779"/>
      <c r="FE31" s="779"/>
      <c r="FF31" s="779"/>
      <c r="FG31" s="779"/>
      <c r="FH31" s="779"/>
      <c r="FI31" s="779"/>
      <c r="FJ31" s="779"/>
      <c r="FK31" s="779"/>
      <c r="FL31" s="779"/>
      <c r="FM31" s="779"/>
      <c r="FN31" s="779"/>
      <c r="FO31" s="779"/>
      <c r="FP31" s="779"/>
      <c r="FQ31" s="779"/>
      <c r="FR31" s="779"/>
      <c r="FS31" s="779"/>
      <c r="FT31" s="779"/>
      <c r="FU31" s="779"/>
      <c r="FV31" s="779"/>
      <c r="FW31" s="779"/>
      <c r="FX31" s="779"/>
      <c r="FY31" s="779"/>
      <c r="FZ31" s="779"/>
      <c r="GA31" s="779"/>
      <c r="GB31" s="779"/>
      <c r="GC31" s="779"/>
      <c r="GD31" s="779"/>
      <c r="GE31" s="779"/>
      <c r="GF31" s="779"/>
      <c r="GG31" s="779"/>
      <c r="GH31" s="779"/>
      <c r="GI31" s="779"/>
      <c r="GJ31" s="779"/>
      <c r="GK31" s="779"/>
      <c r="GL31" s="779"/>
      <c r="GM31" s="779"/>
      <c r="GN31" s="779"/>
      <c r="GO31" s="779"/>
      <c r="GP31" s="779"/>
      <c r="GQ31" s="779"/>
      <c r="GR31" s="779"/>
      <c r="GS31" s="779"/>
      <c r="GT31" s="779"/>
      <c r="GU31" s="779"/>
      <c r="GV31" s="779"/>
      <c r="GW31" s="779"/>
      <c r="GX31" s="779"/>
      <c r="GY31" s="779"/>
      <c r="GZ31" s="779"/>
      <c r="HA31" s="779"/>
      <c r="HB31" s="779"/>
      <c r="HC31" s="779"/>
      <c r="HD31" s="779"/>
      <c r="HE31" s="779"/>
      <c r="HF31" s="779"/>
      <c r="HG31" s="779"/>
      <c r="HH31" s="779"/>
      <c r="HI31" s="779"/>
      <c r="HJ31" s="779"/>
      <c r="HK31" s="779"/>
      <c r="HL31" s="779"/>
      <c r="HM31" s="779"/>
      <c r="HN31" s="779"/>
      <c r="HO31" s="779"/>
      <c r="HP31" s="779"/>
      <c r="HQ31" s="779"/>
      <c r="HR31" s="779"/>
      <c r="HS31" s="779"/>
      <c r="HT31" s="779"/>
      <c r="HU31" s="779"/>
      <c r="HV31" s="779"/>
      <c r="HW31" s="779"/>
      <c r="HX31" s="779"/>
      <c r="HY31" s="779"/>
      <c r="HZ31" s="779"/>
      <c r="IA31" s="779"/>
      <c r="IB31" s="779"/>
      <c r="IC31" s="779"/>
      <c r="ID31" s="779"/>
      <c r="IE31" s="779"/>
      <c r="IF31" s="779"/>
      <c r="IG31" s="779"/>
      <c r="IH31" s="779"/>
      <c r="II31" s="779"/>
      <c r="IJ31" s="779"/>
      <c r="IK31" s="779"/>
      <c r="IL31" s="779"/>
      <c r="IM31" s="779"/>
      <c r="IN31" s="779"/>
      <c r="IO31" s="779"/>
      <c r="IP31" s="779"/>
      <c r="IQ31" s="779"/>
      <c r="IR31" s="779"/>
      <c r="IS31" s="779"/>
      <c r="IT31" s="779"/>
      <c r="IU31" s="779"/>
      <c r="IV31" s="779"/>
    </row>
    <row r="32" spans="1:256" ht="18.95" customHeight="1">
      <c r="A32" s="1205" t="s">
        <v>1280</v>
      </c>
      <c r="B32" s="1205" t="s">
        <v>1281</v>
      </c>
      <c r="C32" s="1206">
        <v>1585771</v>
      </c>
      <c r="D32" s="1201">
        <v>65</v>
      </c>
      <c r="E32" s="1202">
        <v>1030752</v>
      </c>
      <c r="F32" s="1203">
        <v>12</v>
      </c>
      <c r="G32" s="1207">
        <f t="shared" si="0"/>
        <v>12369024</v>
      </c>
    </row>
    <row r="33" spans="1:10" ht="6.75" customHeight="1">
      <c r="A33" s="1212"/>
      <c r="B33" s="1209"/>
      <c r="C33" s="1213" t="s">
        <v>1022</v>
      </c>
      <c r="D33" s="1201"/>
      <c r="E33" s="1202"/>
      <c r="F33" s="1208"/>
      <c r="G33" s="1207"/>
    </row>
    <row r="34" spans="1:10">
      <c r="A34" s="1214" t="s">
        <v>1047</v>
      </c>
      <c r="B34" s="1209"/>
      <c r="C34" s="1213"/>
      <c r="D34" s="1201"/>
      <c r="E34" s="1202"/>
      <c r="F34" s="1208"/>
      <c r="G34" s="1204">
        <f>SUM(G35:G35)</f>
        <v>3768180</v>
      </c>
    </row>
    <row r="35" spans="1:10">
      <c r="A35" s="1212" t="s">
        <v>1532</v>
      </c>
      <c r="B35" s="1205" t="s">
        <v>1015</v>
      </c>
      <c r="C35" s="1206">
        <v>483100</v>
      </c>
      <c r="D35" s="1201">
        <v>65</v>
      </c>
      <c r="E35" s="1202">
        <f>C35*D35%</f>
        <v>314015</v>
      </c>
      <c r="F35" s="1203">
        <v>12</v>
      </c>
      <c r="G35" s="1207">
        <f>E35*F35</f>
        <v>3768180</v>
      </c>
    </row>
    <row r="36" spans="1:10" ht="7.5" customHeight="1">
      <c r="A36" s="1212"/>
      <c r="B36" s="1205"/>
      <c r="C36" s="1206"/>
      <c r="D36" s="1201"/>
      <c r="E36" s="1202"/>
      <c r="F36" s="1203"/>
      <c r="G36" s="1207"/>
    </row>
    <row r="37" spans="1:10">
      <c r="A37" s="1214" t="s">
        <v>1048</v>
      </c>
      <c r="B37" s="1209"/>
      <c r="C37" s="1213"/>
      <c r="D37" s="1201"/>
      <c r="E37" s="1202"/>
      <c r="F37" s="1208"/>
      <c r="G37" s="1204">
        <f>SUM(G38:G39)</f>
        <v>3878160</v>
      </c>
    </row>
    <row r="38" spans="1:10">
      <c r="A38" s="1212" t="s">
        <v>1533</v>
      </c>
      <c r="B38" s="1205" t="s">
        <v>1014</v>
      </c>
      <c r="C38" s="1206">
        <v>497200</v>
      </c>
      <c r="D38" s="1201">
        <v>65</v>
      </c>
      <c r="E38" s="1202">
        <f>C38*D38%</f>
        <v>323180</v>
      </c>
      <c r="F38" s="1208">
        <v>12</v>
      </c>
      <c r="G38" s="1207">
        <f>E38*F38</f>
        <v>3878160</v>
      </c>
      <c r="H38" s="1215"/>
    </row>
    <row r="39" spans="1:10" ht="6.75" customHeight="1">
      <c r="A39" s="1212"/>
      <c r="B39" s="1205"/>
      <c r="C39" s="1206"/>
      <c r="D39" s="1201"/>
      <c r="E39" s="1202"/>
      <c r="F39" s="1208"/>
      <c r="G39" s="1216"/>
      <c r="H39" s="1215"/>
    </row>
    <row r="40" spans="1:10" hidden="1">
      <c r="A40" s="1214" t="s">
        <v>1284</v>
      </c>
      <c r="B40" s="1205"/>
      <c r="C40" s="1206"/>
      <c r="D40" s="1201"/>
      <c r="E40" s="1202"/>
      <c r="F40" s="1203"/>
      <c r="G40" s="1207"/>
    </row>
    <row r="41" spans="1:10" hidden="1">
      <c r="A41" s="1214" t="s">
        <v>1043</v>
      </c>
      <c r="B41" s="1209"/>
      <c r="C41" s="1206"/>
      <c r="D41" s="1201"/>
      <c r="E41" s="1202"/>
      <c r="F41" s="1203"/>
      <c r="G41" s="1217">
        <f>SUM(G42:G45)</f>
        <v>0</v>
      </c>
    </row>
    <row r="42" spans="1:10" ht="10.5" hidden="1" customHeight="1">
      <c r="A42" s="1212"/>
      <c r="B42" s="1205"/>
      <c r="C42" s="1213"/>
      <c r="D42" s="1201"/>
      <c r="E42" s="1202"/>
      <c r="F42" s="1208"/>
      <c r="G42" s="1218"/>
    </row>
    <row r="43" spans="1:10" hidden="1">
      <c r="A43" s="1212" t="s">
        <v>265</v>
      </c>
      <c r="B43" s="1205" t="s">
        <v>1014</v>
      </c>
      <c r="C43" s="1206">
        <v>0</v>
      </c>
      <c r="D43" s="1201">
        <v>65</v>
      </c>
      <c r="E43" s="1202">
        <f>C43*D43%</f>
        <v>0</v>
      </c>
      <c r="F43" s="1208">
        <v>1</v>
      </c>
      <c r="G43" s="1218">
        <f>+E43</f>
        <v>0</v>
      </c>
      <c r="H43" s="782" t="s">
        <v>1022</v>
      </c>
      <c r="J43" s="1215">
        <f>+G43+G42</f>
        <v>0</v>
      </c>
    </row>
    <row r="44" spans="1:10" ht="25.5" hidden="1">
      <c r="A44" s="1212" t="s">
        <v>1321</v>
      </c>
      <c r="B44" s="1209" t="s">
        <v>1045</v>
      </c>
      <c r="C44" s="1210">
        <v>0</v>
      </c>
      <c r="D44" s="1201">
        <v>65</v>
      </c>
      <c r="E44" s="1202">
        <f>C44*D44%</f>
        <v>0</v>
      </c>
      <c r="F44" s="1208">
        <v>1</v>
      </c>
      <c r="G44" s="1218">
        <f>+E44</f>
        <v>0</v>
      </c>
      <c r="J44" s="1215"/>
    </row>
    <row r="45" spans="1:10" hidden="1">
      <c r="A45" s="1214" t="s">
        <v>1043</v>
      </c>
      <c r="B45" s="1205"/>
      <c r="C45" s="1206"/>
      <c r="D45" s="1201"/>
      <c r="E45" s="1202"/>
      <c r="F45" s="1208"/>
      <c r="G45" s="1218"/>
    </row>
    <row r="46" spans="1:10" hidden="1">
      <c r="A46" s="1212"/>
      <c r="B46" s="1205"/>
      <c r="C46" s="1206"/>
      <c r="D46" s="1201"/>
      <c r="E46" s="1202"/>
      <c r="F46" s="1208"/>
      <c r="G46" s="1218"/>
    </row>
    <row r="47" spans="1:10" hidden="1">
      <c r="A47" s="1212"/>
      <c r="B47" s="1205"/>
      <c r="C47" s="1206"/>
      <c r="D47" s="1201"/>
      <c r="E47" s="1202"/>
      <c r="F47" s="1208"/>
      <c r="G47" s="1218"/>
    </row>
    <row r="48" spans="1:10" hidden="1">
      <c r="A48" s="1212"/>
      <c r="B48" s="1205"/>
      <c r="C48" s="1206"/>
      <c r="D48" s="1201"/>
      <c r="E48" s="1202"/>
      <c r="F48" s="1208"/>
      <c r="G48" s="1218"/>
    </row>
    <row r="49" spans="1:10" hidden="1">
      <c r="A49" s="1212"/>
      <c r="B49" s="1205"/>
      <c r="C49" s="1213"/>
      <c r="D49" s="1201"/>
      <c r="E49" s="1202"/>
      <c r="F49" s="1208"/>
      <c r="G49" s="1207"/>
    </row>
    <row r="50" spans="1:10" ht="18" customHeight="1">
      <c r="A50" s="1219" t="s">
        <v>63</v>
      </c>
      <c r="B50" s="1220"/>
      <c r="C50" s="1221"/>
      <c r="D50" s="1203"/>
      <c r="E50" s="1203"/>
      <c r="F50" s="1222"/>
      <c r="G50" s="1204">
        <f>+G37+G34+G10</f>
        <v>101801832</v>
      </c>
    </row>
    <row r="51" spans="1:10">
      <c r="A51" s="1223"/>
      <c r="B51" s="1223"/>
      <c r="C51" s="1223"/>
      <c r="D51" s="1223"/>
      <c r="E51" s="1223"/>
      <c r="F51" s="1224"/>
      <c r="G51" s="1225"/>
      <c r="J51" s="1215">
        <f>+G50+[13]DEDICAC.!G53</f>
        <v>167793912</v>
      </c>
    </row>
    <row r="52" spans="1:10" ht="7.5" customHeight="1"/>
    <row r="53" spans="1:10" ht="8.25" customHeight="1"/>
    <row r="54" spans="1:10" ht="9.75" customHeight="1"/>
    <row r="56" spans="1:10">
      <c r="A56" s="1226" t="s">
        <v>1534</v>
      </c>
      <c r="B56" s="1227"/>
      <c r="C56" s="1227"/>
      <c r="D56" s="1227"/>
      <c r="E56" s="1227"/>
      <c r="F56" s="1228"/>
      <c r="G56" s="1229">
        <v>41140</v>
      </c>
    </row>
    <row r="57" spans="1:10" ht="15" customHeight="1">
      <c r="A57" s="1226" t="s">
        <v>1535</v>
      </c>
      <c r="B57" s="1226"/>
      <c r="C57" s="1226"/>
      <c r="D57" s="1226"/>
      <c r="E57" s="1226"/>
      <c r="F57" s="1226"/>
      <c r="G57" s="1230" t="s">
        <v>628</v>
      </c>
    </row>
  </sheetData>
  <sheetProtection password="AC08" sheet="1"/>
  <mergeCells count="2">
    <mergeCell ref="A3:G3"/>
    <mergeCell ref="A5:G5"/>
  </mergeCells>
  <printOptions horizontalCentered="1"/>
  <pageMargins left="0.6692913385826772" right="0.27559055118110237" top="0.59055118110236227" bottom="0.78740157480314965" header="0.19685039370078741" footer="0.39370078740157483"/>
  <pageSetup scale="90" orientation="portrait" horizontalDpi="300" verticalDpi="300" r:id="rId1"/>
  <headerFooter alignWithMargins="0">
    <oddFooter>&amp;C&amp;"Times New Roman,Negrita"&amp;14Pág.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74480-84B0-4496-8A12-EE6FD952DE89}">
  <sheetPr codeName="Hoja24"/>
  <dimension ref="A1:IV59"/>
  <sheetViews>
    <sheetView showGridLines="0" zoomScale="85" workbookViewId="0">
      <selection activeCell="P19" sqref="P19"/>
    </sheetView>
  </sheetViews>
  <sheetFormatPr defaultColWidth="11" defaultRowHeight="12.75"/>
  <cols>
    <col min="1" max="1" width="32.875" style="779" customWidth="1"/>
    <col min="2" max="2" width="15.5" style="779" customWidth="1"/>
    <col min="3" max="3" width="12.125" style="779" customWidth="1"/>
    <col min="4" max="4" width="6.25" style="779" customWidth="1"/>
    <col min="5" max="5" width="12.375" style="779" customWidth="1"/>
    <col min="6" max="6" width="7.375" style="779" customWidth="1"/>
    <col min="7" max="7" width="16.75" style="779" customWidth="1"/>
    <col min="8" max="8" width="8.125" style="782" hidden="1" customWidth="1"/>
    <col min="9" max="9" width="31.25" style="782" hidden="1" customWidth="1"/>
    <col min="10" max="12" width="0" style="782" hidden="1" customWidth="1"/>
    <col min="13" max="13" width="0" style="779" hidden="1" customWidth="1"/>
    <col min="14" max="16384" width="11" style="779"/>
  </cols>
  <sheetData>
    <row r="1" spans="1:256" s="1353" customFormat="1" ht="30.75" customHeight="1" thickBot="1">
      <c r="A1" s="1309" t="s">
        <v>32</v>
      </c>
      <c r="B1" s="1354"/>
      <c r="C1" s="1354"/>
      <c r="D1" s="1354"/>
      <c r="E1" s="1354"/>
      <c r="F1" s="1354"/>
      <c r="G1" s="1311" t="s">
        <v>1331</v>
      </c>
      <c r="H1" s="1357" t="s">
        <v>621</v>
      </c>
      <c r="I1" s="1352"/>
      <c r="J1" s="1352"/>
      <c r="K1" s="1352"/>
      <c r="L1" s="1352"/>
    </row>
    <row r="2" spans="1:256" ht="11.25" customHeight="1">
      <c r="B2" s="1231"/>
      <c r="C2" s="1231"/>
      <c r="D2" s="1231"/>
      <c r="E2" s="1231"/>
      <c r="F2" s="1231"/>
      <c r="G2" s="1231"/>
    </row>
    <row r="3" spans="1:256" s="1101" customFormat="1" ht="24.75" customHeight="1">
      <c r="A3" s="1478" t="s">
        <v>1114</v>
      </c>
      <c r="B3" s="1478"/>
      <c r="C3" s="1478"/>
      <c r="D3" s="1478"/>
      <c r="E3" s="1478"/>
      <c r="F3" s="1478"/>
      <c r="G3" s="1478"/>
      <c r="H3" s="1232"/>
      <c r="I3" s="1232"/>
      <c r="J3" s="1232"/>
      <c r="K3" s="1232"/>
      <c r="L3" s="1232"/>
    </row>
    <row r="4" spans="1:256" s="1235" customFormat="1" ht="8.25" customHeight="1">
      <c r="A4" s="1233"/>
      <c r="B4" s="1233"/>
      <c r="C4" s="1233"/>
      <c r="D4" s="1233"/>
      <c r="E4" s="1233"/>
      <c r="F4" s="1233"/>
      <c r="G4" s="1233"/>
      <c r="H4" s="1234"/>
      <c r="I4" s="1234"/>
      <c r="J4" s="1234"/>
      <c r="K4" s="1234"/>
      <c r="L4" s="1234"/>
    </row>
    <row r="5" spans="1:256" s="1235" customFormat="1" ht="21.75" customHeight="1">
      <c r="A5" s="1503" t="s">
        <v>1053</v>
      </c>
      <c r="B5" s="1503"/>
      <c r="C5" s="1503"/>
      <c r="D5" s="1503"/>
      <c r="E5" s="1503"/>
      <c r="F5" s="1503"/>
      <c r="G5" s="1503"/>
      <c r="H5" s="1234"/>
      <c r="I5" s="1234"/>
      <c r="J5" s="1234"/>
      <c r="K5" s="1234"/>
      <c r="L5" s="1234"/>
    </row>
    <row r="6" spans="1:256" ht="10.5" customHeight="1" thickBot="1">
      <c r="A6" s="1178"/>
      <c r="B6" s="1178"/>
      <c r="C6" s="1178"/>
      <c r="D6" s="1178"/>
      <c r="E6" s="1178"/>
      <c r="F6" s="1178"/>
      <c r="G6" s="1178"/>
      <c r="I6" s="1181" t="s">
        <v>1148</v>
      </c>
    </row>
    <row r="7" spans="1:256" ht="33" customHeight="1">
      <c r="A7" s="1236" t="s">
        <v>1040</v>
      </c>
      <c r="B7" s="1236" t="s">
        <v>1121</v>
      </c>
      <c r="C7" s="1237" t="s">
        <v>1041</v>
      </c>
      <c r="D7" s="1236" t="s">
        <v>62</v>
      </c>
      <c r="E7" s="1237" t="s">
        <v>1199</v>
      </c>
      <c r="F7" s="1237" t="s">
        <v>1519</v>
      </c>
      <c r="G7" s="1238" t="s">
        <v>1122</v>
      </c>
      <c r="I7" s="1188" t="s">
        <v>1149</v>
      </c>
    </row>
    <row r="8" spans="1:256" s="782" customFormat="1" ht="21.75" customHeight="1">
      <c r="A8" s="1239" t="s">
        <v>1042</v>
      </c>
      <c r="B8" s="1191"/>
      <c r="C8" s="1192"/>
      <c r="D8" s="1193"/>
      <c r="E8" s="1194"/>
      <c r="F8" s="1195"/>
      <c r="G8" s="1240">
        <f>G9+G24+G32</f>
        <v>58269600</v>
      </c>
    </row>
    <row r="9" spans="1:256" s="782" customFormat="1" ht="21.75" customHeight="1">
      <c r="A9" s="1241" t="s">
        <v>1043</v>
      </c>
      <c r="B9" s="1199"/>
      <c r="C9" s="1200"/>
      <c r="D9" s="1201"/>
      <c r="E9" s="1202"/>
      <c r="F9" s="1203"/>
      <c r="G9" s="1242">
        <f>SUM(G10:G23)</f>
        <v>31820640</v>
      </c>
    </row>
    <row r="10" spans="1:256" s="782" customFormat="1" ht="18.95" customHeight="1">
      <c r="A10" s="1202" t="s">
        <v>1536</v>
      </c>
      <c r="B10" s="1202" t="s">
        <v>1015</v>
      </c>
      <c r="C10" s="1202">
        <v>483100</v>
      </c>
      <c r="D10" s="1243">
        <v>20</v>
      </c>
      <c r="E10" s="1202">
        <f t="shared" ref="E10:E21" si="0">C10*D10%</f>
        <v>96620</v>
      </c>
      <c r="F10" s="1208">
        <v>12</v>
      </c>
      <c r="G10" s="1244">
        <f t="shared" ref="G10:G23" si="1">E10*F10</f>
        <v>1159440</v>
      </c>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79"/>
      <c r="AL10" s="779"/>
      <c r="AM10" s="779"/>
      <c r="AN10" s="779"/>
      <c r="AO10" s="779"/>
      <c r="AP10" s="779"/>
      <c r="AQ10" s="779"/>
      <c r="AR10" s="779"/>
      <c r="AS10" s="779"/>
      <c r="AT10" s="779"/>
      <c r="AU10" s="779"/>
      <c r="AV10" s="779"/>
      <c r="AW10" s="779"/>
      <c r="AX10" s="779"/>
      <c r="AY10" s="779"/>
      <c r="AZ10" s="779"/>
      <c r="BA10" s="779"/>
      <c r="BB10" s="779"/>
      <c r="BC10" s="779"/>
      <c r="BD10" s="779"/>
      <c r="BE10" s="779"/>
      <c r="BF10" s="779"/>
      <c r="BG10" s="779"/>
      <c r="BH10" s="779"/>
      <c r="BI10" s="779"/>
      <c r="BJ10" s="779"/>
      <c r="BK10" s="779"/>
      <c r="BL10" s="779"/>
      <c r="BM10" s="779"/>
      <c r="BN10" s="779"/>
      <c r="BO10" s="779"/>
      <c r="BP10" s="779"/>
      <c r="BQ10" s="779"/>
      <c r="BR10" s="779"/>
      <c r="BS10" s="779"/>
      <c r="BT10" s="779"/>
      <c r="BU10" s="779"/>
      <c r="BV10" s="779"/>
      <c r="BW10" s="779"/>
      <c r="BX10" s="779"/>
      <c r="BY10" s="779"/>
      <c r="BZ10" s="779"/>
      <c r="CA10" s="779"/>
      <c r="CB10" s="779"/>
      <c r="CC10" s="779"/>
      <c r="CD10" s="779"/>
      <c r="CE10" s="779"/>
      <c r="CF10" s="779"/>
      <c r="CG10" s="779"/>
      <c r="CH10" s="779"/>
      <c r="CI10" s="779"/>
      <c r="CJ10" s="779"/>
      <c r="CK10" s="779"/>
      <c r="CL10" s="779"/>
      <c r="CM10" s="779"/>
      <c r="CN10" s="779"/>
      <c r="CO10" s="779"/>
      <c r="CP10" s="779"/>
      <c r="CQ10" s="779"/>
      <c r="CR10" s="779"/>
      <c r="CS10" s="779"/>
      <c r="CT10" s="779"/>
      <c r="CU10" s="779"/>
      <c r="CV10" s="779"/>
      <c r="CW10" s="779"/>
      <c r="CX10" s="779"/>
      <c r="CY10" s="779"/>
      <c r="CZ10" s="779"/>
      <c r="DA10" s="779"/>
      <c r="DB10" s="779"/>
      <c r="DC10" s="779"/>
      <c r="DD10" s="779"/>
      <c r="DE10" s="779"/>
      <c r="DF10" s="779"/>
      <c r="DG10" s="779"/>
      <c r="DH10" s="779"/>
      <c r="DI10" s="779"/>
      <c r="DJ10" s="779"/>
      <c r="DK10" s="779"/>
      <c r="DL10" s="779"/>
      <c r="DM10" s="779"/>
      <c r="DN10" s="779"/>
      <c r="DO10" s="779"/>
      <c r="DP10" s="779"/>
      <c r="DQ10" s="779"/>
      <c r="DR10" s="779"/>
      <c r="DS10" s="779"/>
      <c r="DT10" s="779"/>
      <c r="DU10" s="779"/>
      <c r="DV10" s="779"/>
      <c r="DW10" s="779"/>
      <c r="DX10" s="779"/>
      <c r="DY10" s="779"/>
      <c r="DZ10" s="779"/>
      <c r="EA10" s="779"/>
      <c r="EB10" s="779"/>
      <c r="EC10" s="779"/>
      <c r="ED10" s="779"/>
      <c r="EE10" s="779"/>
      <c r="EF10" s="779"/>
      <c r="EG10" s="779"/>
      <c r="EH10" s="779"/>
      <c r="EI10" s="779"/>
      <c r="EJ10" s="779"/>
      <c r="EK10" s="779"/>
      <c r="EL10" s="779"/>
      <c r="EM10" s="779"/>
      <c r="EN10" s="779"/>
      <c r="EO10" s="779"/>
      <c r="EP10" s="779"/>
      <c r="EQ10" s="779"/>
      <c r="ER10" s="779"/>
      <c r="ES10" s="779"/>
      <c r="ET10" s="779"/>
      <c r="EU10" s="779"/>
      <c r="EV10" s="779"/>
      <c r="EW10" s="779"/>
      <c r="EX10" s="779"/>
      <c r="EY10" s="779"/>
      <c r="EZ10" s="779"/>
      <c r="FA10" s="779"/>
      <c r="FB10" s="779"/>
      <c r="FC10" s="779"/>
      <c r="FD10" s="779"/>
      <c r="FE10" s="779"/>
      <c r="FF10" s="779"/>
      <c r="FG10" s="779"/>
      <c r="FH10" s="779"/>
      <c r="FI10" s="779"/>
      <c r="FJ10" s="779"/>
      <c r="FK10" s="779"/>
      <c r="FL10" s="779"/>
      <c r="FM10" s="779"/>
      <c r="FN10" s="779"/>
      <c r="FO10" s="779"/>
      <c r="FP10" s="779"/>
      <c r="FQ10" s="779"/>
      <c r="FR10" s="779"/>
      <c r="FS10" s="779"/>
      <c r="FT10" s="779"/>
      <c r="FU10" s="779"/>
      <c r="FV10" s="779"/>
      <c r="FW10" s="779"/>
      <c r="FX10" s="779"/>
      <c r="FY10" s="779"/>
      <c r="FZ10" s="779"/>
      <c r="GA10" s="779"/>
      <c r="GB10" s="779"/>
      <c r="GC10" s="779"/>
      <c r="GD10" s="779"/>
      <c r="GE10" s="779"/>
      <c r="GF10" s="779"/>
      <c r="GG10" s="779"/>
      <c r="GH10" s="779"/>
      <c r="GI10" s="779"/>
      <c r="GJ10" s="779"/>
      <c r="GK10" s="779"/>
      <c r="GL10" s="779"/>
      <c r="GM10" s="779"/>
      <c r="GN10" s="779"/>
      <c r="GO10" s="779"/>
      <c r="GP10" s="779"/>
      <c r="GQ10" s="779"/>
      <c r="GR10" s="779"/>
      <c r="GS10" s="779"/>
      <c r="GT10" s="779"/>
      <c r="GU10" s="779"/>
      <c r="GV10" s="779"/>
      <c r="GW10" s="779"/>
      <c r="GX10" s="779"/>
      <c r="GY10" s="779"/>
      <c r="GZ10" s="779"/>
      <c r="HA10" s="779"/>
      <c r="HB10" s="779"/>
      <c r="HC10" s="779"/>
      <c r="HD10" s="779"/>
      <c r="HE10" s="779"/>
      <c r="HF10" s="779"/>
      <c r="HG10" s="779"/>
      <c r="HH10" s="779"/>
      <c r="HI10" s="779"/>
      <c r="HJ10" s="779"/>
      <c r="HK10" s="779"/>
      <c r="HL10" s="779"/>
      <c r="HM10" s="779"/>
      <c r="HN10" s="779"/>
      <c r="HO10" s="779"/>
      <c r="HP10" s="779"/>
      <c r="HQ10" s="779"/>
      <c r="HR10" s="779"/>
      <c r="HS10" s="779"/>
      <c r="HT10" s="779"/>
      <c r="HU10" s="779"/>
      <c r="HV10" s="779"/>
      <c r="HW10" s="779"/>
      <c r="HX10" s="779"/>
      <c r="HY10" s="779"/>
      <c r="HZ10" s="779"/>
      <c r="IA10" s="779"/>
      <c r="IB10" s="779"/>
      <c r="IC10" s="779"/>
      <c r="ID10" s="779"/>
      <c r="IE10" s="779"/>
      <c r="IF10" s="779"/>
      <c r="IG10" s="779"/>
      <c r="IH10" s="779"/>
      <c r="II10" s="779"/>
      <c r="IJ10" s="779"/>
      <c r="IK10" s="779"/>
      <c r="IL10" s="779"/>
      <c r="IM10" s="779"/>
      <c r="IN10" s="779"/>
      <c r="IO10" s="779"/>
      <c r="IP10" s="779"/>
      <c r="IQ10" s="779"/>
      <c r="IR10" s="779"/>
      <c r="IS10" s="779"/>
      <c r="IT10" s="779"/>
      <c r="IU10" s="779"/>
      <c r="IV10" s="779"/>
    </row>
    <row r="11" spans="1:256" ht="18.95" customHeight="1">
      <c r="A11" s="1245" t="s">
        <v>1537</v>
      </c>
      <c r="B11" s="1246" t="s">
        <v>1014</v>
      </c>
      <c r="C11" s="1202">
        <v>497200</v>
      </c>
      <c r="D11" s="1243">
        <v>55</v>
      </c>
      <c r="E11" s="1202">
        <f t="shared" si="0"/>
        <v>273460</v>
      </c>
      <c r="F11" s="1203">
        <v>12</v>
      </c>
      <c r="G11" s="1247">
        <f t="shared" si="1"/>
        <v>3281520</v>
      </c>
    </row>
    <row r="12" spans="1:256" s="782" customFormat="1" ht="18.95" customHeight="1">
      <c r="A12" s="1202" t="s">
        <v>1538</v>
      </c>
      <c r="B12" s="1202" t="s">
        <v>1014</v>
      </c>
      <c r="C12" s="1202">
        <v>497200</v>
      </c>
      <c r="D12" s="1243">
        <v>55</v>
      </c>
      <c r="E12" s="1202">
        <f t="shared" si="0"/>
        <v>273460</v>
      </c>
      <c r="F12" s="1203">
        <v>12</v>
      </c>
      <c r="G12" s="1244">
        <f t="shared" si="1"/>
        <v>3281520</v>
      </c>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79"/>
      <c r="AL12" s="779"/>
      <c r="AM12" s="779"/>
      <c r="AN12" s="779"/>
      <c r="AO12" s="779"/>
      <c r="AP12" s="779"/>
      <c r="AQ12" s="779"/>
      <c r="AR12" s="779"/>
      <c r="AS12" s="779"/>
      <c r="AT12" s="779"/>
      <c r="AU12" s="779"/>
      <c r="AV12" s="779"/>
      <c r="AW12" s="779"/>
      <c r="AX12" s="779"/>
      <c r="AY12" s="779"/>
      <c r="AZ12" s="779"/>
      <c r="BA12" s="779"/>
      <c r="BB12" s="779"/>
      <c r="BC12" s="779"/>
      <c r="BD12" s="779"/>
      <c r="BE12" s="779"/>
      <c r="BF12" s="779"/>
      <c r="BG12" s="779"/>
      <c r="BH12" s="779"/>
      <c r="BI12" s="779"/>
      <c r="BJ12" s="779"/>
      <c r="BK12" s="779"/>
      <c r="BL12" s="779"/>
      <c r="BM12" s="779"/>
      <c r="BN12" s="779"/>
      <c r="BO12" s="779"/>
      <c r="BP12" s="779"/>
      <c r="BQ12" s="779"/>
      <c r="BR12" s="779"/>
      <c r="BS12" s="779"/>
      <c r="BT12" s="779"/>
      <c r="BU12" s="779"/>
      <c r="BV12" s="779"/>
      <c r="BW12" s="779"/>
      <c r="BX12" s="779"/>
      <c r="BY12" s="779"/>
      <c r="BZ12" s="779"/>
      <c r="CA12" s="779"/>
      <c r="CB12" s="779"/>
      <c r="CC12" s="779"/>
      <c r="CD12" s="779"/>
      <c r="CE12" s="779"/>
      <c r="CF12" s="779"/>
      <c r="CG12" s="779"/>
      <c r="CH12" s="779"/>
      <c r="CI12" s="779"/>
      <c r="CJ12" s="779"/>
      <c r="CK12" s="779"/>
      <c r="CL12" s="779"/>
      <c r="CM12" s="779"/>
      <c r="CN12" s="779"/>
      <c r="CO12" s="779"/>
      <c r="CP12" s="779"/>
      <c r="CQ12" s="779"/>
      <c r="CR12" s="779"/>
      <c r="CS12" s="779"/>
      <c r="CT12" s="779"/>
      <c r="CU12" s="779"/>
      <c r="CV12" s="779"/>
      <c r="CW12" s="779"/>
      <c r="CX12" s="779"/>
      <c r="CY12" s="779"/>
      <c r="CZ12" s="779"/>
      <c r="DA12" s="779"/>
      <c r="DB12" s="779"/>
      <c r="DC12" s="779"/>
      <c r="DD12" s="779"/>
      <c r="DE12" s="779"/>
      <c r="DF12" s="779"/>
      <c r="DG12" s="779"/>
      <c r="DH12" s="779"/>
      <c r="DI12" s="779"/>
      <c r="DJ12" s="779"/>
      <c r="DK12" s="779"/>
      <c r="DL12" s="779"/>
      <c r="DM12" s="779"/>
      <c r="DN12" s="779"/>
      <c r="DO12" s="779"/>
      <c r="DP12" s="779"/>
      <c r="DQ12" s="779"/>
      <c r="DR12" s="779"/>
      <c r="DS12" s="779"/>
      <c r="DT12" s="779"/>
      <c r="DU12" s="779"/>
      <c r="DV12" s="779"/>
      <c r="DW12" s="779"/>
      <c r="DX12" s="779"/>
      <c r="DY12" s="779"/>
      <c r="DZ12" s="779"/>
      <c r="EA12" s="779"/>
      <c r="EB12" s="779"/>
      <c r="EC12" s="779"/>
      <c r="ED12" s="779"/>
      <c r="EE12" s="779"/>
      <c r="EF12" s="779"/>
      <c r="EG12" s="779"/>
      <c r="EH12" s="779"/>
      <c r="EI12" s="779"/>
      <c r="EJ12" s="779"/>
      <c r="EK12" s="779"/>
      <c r="EL12" s="779"/>
      <c r="EM12" s="779"/>
      <c r="EN12" s="779"/>
      <c r="EO12" s="779"/>
      <c r="EP12" s="779"/>
      <c r="EQ12" s="779"/>
      <c r="ER12" s="779"/>
      <c r="ES12" s="779"/>
      <c r="ET12" s="779"/>
      <c r="EU12" s="779"/>
      <c r="EV12" s="779"/>
      <c r="EW12" s="779"/>
      <c r="EX12" s="779"/>
      <c r="EY12" s="779"/>
      <c r="EZ12" s="779"/>
      <c r="FA12" s="779"/>
      <c r="FB12" s="779"/>
      <c r="FC12" s="779"/>
      <c r="FD12" s="779"/>
      <c r="FE12" s="779"/>
      <c r="FF12" s="779"/>
      <c r="FG12" s="779"/>
      <c r="FH12" s="779"/>
      <c r="FI12" s="779"/>
      <c r="FJ12" s="779"/>
      <c r="FK12" s="779"/>
      <c r="FL12" s="779"/>
      <c r="FM12" s="779"/>
      <c r="FN12" s="779"/>
      <c r="FO12" s="779"/>
      <c r="FP12" s="779"/>
      <c r="FQ12" s="779"/>
      <c r="FR12" s="779"/>
      <c r="FS12" s="779"/>
      <c r="FT12" s="779"/>
      <c r="FU12" s="779"/>
      <c r="FV12" s="779"/>
      <c r="FW12" s="779"/>
      <c r="FX12" s="779"/>
      <c r="FY12" s="779"/>
      <c r="FZ12" s="779"/>
      <c r="GA12" s="779"/>
      <c r="GB12" s="779"/>
      <c r="GC12" s="779"/>
      <c r="GD12" s="779"/>
      <c r="GE12" s="779"/>
      <c r="GF12" s="779"/>
      <c r="GG12" s="779"/>
      <c r="GH12" s="779"/>
      <c r="GI12" s="779"/>
      <c r="GJ12" s="779"/>
      <c r="GK12" s="779"/>
      <c r="GL12" s="779"/>
      <c r="GM12" s="779"/>
      <c r="GN12" s="779"/>
      <c r="GO12" s="779"/>
      <c r="GP12" s="779"/>
      <c r="GQ12" s="779"/>
      <c r="GR12" s="779"/>
      <c r="GS12" s="779"/>
      <c r="GT12" s="779"/>
      <c r="GU12" s="779"/>
      <c r="GV12" s="779"/>
      <c r="GW12" s="779"/>
      <c r="GX12" s="779"/>
      <c r="GY12" s="779"/>
      <c r="GZ12" s="779"/>
      <c r="HA12" s="779"/>
      <c r="HB12" s="779"/>
      <c r="HC12" s="779"/>
      <c r="HD12" s="779"/>
      <c r="HE12" s="779"/>
      <c r="HF12" s="779"/>
      <c r="HG12" s="779"/>
      <c r="HH12" s="779"/>
      <c r="HI12" s="779"/>
      <c r="HJ12" s="779"/>
      <c r="HK12" s="779"/>
      <c r="HL12" s="779"/>
      <c r="HM12" s="779"/>
      <c r="HN12" s="779"/>
      <c r="HO12" s="779"/>
      <c r="HP12" s="779"/>
      <c r="HQ12" s="779"/>
      <c r="HR12" s="779"/>
      <c r="HS12" s="779"/>
      <c r="HT12" s="779"/>
      <c r="HU12" s="779"/>
      <c r="HV12" s="779"/>
      <c r="HW12" s="779"/>
      <c r="HX12" s="779"/>
      <c r="HY12" s="779"/>
      <c r="HZ12" s="779"/>
      <c r="IA12" s="779"/>
      <c r="IB12" s="779"/>
      <c r="IC12" s="779"/>
      <c r="ID12" s="779"/>
      <c r="IE12" s="779"/>
      <c r="IF12" s="779"/>
      <c r="IG12" s="779"/>
      <c r="IH12" s="779"/>
      <c r="II12" s="779"/>
      <c r="IJ12" s="779"/>
      <c r="IK12" s="779"/>
      <c r="IL12" s="779"/>
      <c r="IM12" s="779"/>
      <c r="IN12" s="779"/>
      <c r="IO12" s="779"/>
      <c r="IP12" s="779"/>
      <c r="IQ12" s="779"/>
      <c r="IR12" s="779"/>
      <c r="IS12" s="779"/>
      <c r="IT12" s="779"/>
      <c r="IU12" s="779"/>
      <c r="IV12" s="779"/>
    </row>
    <row r="13" spans="1:256" ht="18.95" customHeight="1">
      <c r="A13" s="1246" t="s">
        <v>1539</v>
      </c>
      <c r="B13" s="1246" t="s">
        <v>1014</v>
      </c>
      <c r="C13" s="1202">
        <v>497200</v>
      </c>
      <c r="D13" s="1243">
        <v>55</v>
      </c>
      <c r="E13" s="1202">
        <f t="shared" si="0"/>
        <v>273460</v>
      </c>
      <c r="F13" s="1203">
        <v>12</v>
      </c>
      <c r="G13" s="1244">
        <f t="shared" si="1"/>
        <v>3281520</v>
      </c>
    </row>
    <row r="14" spans="1:256" s="782" customFormat="1" ht="18.95" customHeight="1">
      <c r="A14" s="1202" t="s">
        <v>1288</v>
      </c>
      <c r="B14" s="1202" t="s">
        <v>1015</v>
      </c>
      <c r="C14" s="1202">
        <v>483100</v>
      </c>
      <c r="D14" s="1243">
        <v>20</v>
      </c>
      <c r="E14" s="1202">
        <f t="shared" si="0"/>
        <v>96620</v>
      </c>
      <c r="F14" s="1208">
        <v>12</v>
      </c>
      <c r="G14" s="1244">
        <f t="shared" si="1"/>
        <v>1159440</v>
      </c>
      <c r="M14" s="779"/>
      <c r="N14" s="779"/>
      <c r="O14" s="779"/>
      <c r="P14" s="779"/>
      <c r="Q14" s="779"/>
      <c r="R14" s="779"/>
      <c r="S14" s="779"/>
      <c r="T14" s="779"/>
      <c r="U14" s="779"/>
      <c r="V14" s="779"/>
      <c r="W14" s="779"/>
      <c r="X14" s="779"/>
      <c r="Y14" s="779"/>
      <c r="Z14" s="779"/>
      <c r="AA14" s="779"/>
      <c r="AB14" s="779"/>
      <c r="AC14" s="779"/>
      <c r="AD14" s="779"/>
      <c r="AE14" s="779"/>
      <c r="AF14" s="779"/>
      <c r="AG14" s="779"/>
      <c r="AH14" s="779"/>
      <c r="AI14" s="779"/>
      <c r="AJ14" s="779"/>
      <c r="AK14" s="779"/>
      <c r="AL14" s="779"/>
      <c r="AM14" s="779"/>
      <c r="AN14" s="779"/>
      <c r="AO14" s="779"/>
      <c r="AP14" s="779"/>
      <c r="AQ14" s="779"/>
      <c r="AR14" s="779"/>
      <c r="AS14" s="779"/>
      <c r="AT14" s="779"/>
      <c r="AU14" s="779"/>
      <c r="AV14" s="779"/>
      <c r="AW14" s="779"/>
      <c r="AX14" s="779"/>
      <c r="AY14" s="779"/>
      <c r="AZ14" s="779"/>
      <c r="BA14" s="779"/>
      <c r="BB14" s="779"/>
      <c r="BC14" s="779"/>
      <c r="BD14" s="779"/>
      <c r="BE14" s="779"/>
      <c r="BF14" s="779"/>
      <c r="BG14" s="779"/>
      <c r="BH14" s="779"/>
      <c r="BI14" s="779"/>
      <c r="BJ14" s="779"/>
      <c r="BK14" s="779"/>
      <c r="BL14" s="779"/>
      <c r="BM14" s="779"/>
      <c r="BN14" s="779"/>
      <c r="BO14" s="779"/>
      <c r="BP14" s="779"/>
      <c r="BQ14" s="779"/>
      <c r="BR14" s="779"/>
      <c r="BS14" s="779"/>
      <c r="BT14" s="779"/>
      <c r="BU14" s="779"/>
      <c r="BV14" s="779"/>
      <c r="BW14" s="779"/>
      <c r="BX14" s="779"/>
      <c r="BY14" s="779"/>
      <c r="BZ14" s="779"/>
      <c r="CA14" s="779"/>
      <c r="CB14" s="779"/>
      <c r="CC14" s="779"/>
      <c r="CD14" s="779"/>
      <c r="CE14" s="779"/>
      <c r="CF14" s="779"/>
      <c r="CG14" s="779"/>
      <c r="CH14" s="779"/>
      <c r="CI14" s="779"/>
      <c r="CJ14" s="779"/>
      <c r="CK14" s="779"/>
      <c r="CL14" s="779"/>
      <c r="CM14" s="779"/>
      <c r="CN14" s="779"/>
      <c r="CO14" s="779"/>
      <c r="CP14" s="779"/>
      <c r="CQ14" s="779"/>
      <c r="CR14" s="779"/>
      <c r="CS14" s="779"/>
      <c r="CT14" s="779"/>
      <c r="CU14" s="779"/>
      <c r="CV14" s="779"/>
      <c r="CW14" s="779"/>
      <c r="CX14" s="779"/>
      <c r="CY14" s="779"/>
      <c r="CZ14" s="779"/>
      <c r="DA14" s="779"/>
      <c r="DB14" s="779"/>
      <c r="DC14" s="779"/>
      <c r="DD14" s="779"/>
      <c r="DE14" s="779"/>
      <c r="DF14" s="779"/>
      <c r="DG14" s="779"/>
      <c r="DH14" s="779"/>
      <c r="DI14" s="779"/>
      <c r="DJ14" s="779"/>
      <c r="DK14" s="779"/>
      <c r="DL14" s="779"/>
      <c r="DM14" s="779"/>
      <c r="DN14" s="779"/>
      <c r="DO14" s="779"/>
      <c r="DP14" s="779"/>
      <c r="DQ14" s="779"/>
      <c r="DR14" s="779"/>
      <c r="DS14" s="779"/>
      <c r="DT14" s="779"/>
      <c r="DU14" s="779"/>
      <c r="DV14" s="779"/>
      <c r="DW14" s="779"/>
      <c r="DX14" s="779"/>
      <c r="DY14" s="779"/>
      <c r="DZ14" s="779"/>
      <c r="EA14" s="779"/>
      <c r="EB14" s="779"/>
      <c r="EC14" s="779"/>
      <c r="ED14" s="779"/>
      <c r="EE14" s="779"/>
      <c r="EF14" s="779"/>
      <c r="EG14" s="779"/>
      <c r="EH14" s="779"/>
      <c r="EI14" s="779"/>
      <c r="EJ14" s="779"/>
      <c r="EK14" s="779"/>
      <c r="EL14" s="779"/>
      <c r="EM14" s="779"/>
      <c r="EN14" s="779"/>
      <c r="EO14" s="779"/>
      <c r="EP14" s="779"/>
      <c r="EQ14" s="779"/>
      <c r="ER14" s="779"/>
      <c r="ES14" s="779"/>
      <c r="ET14" s="779"/>
      <c r="EU14" s="779"/>
      <c r="EV14" s="779"/>
      <c r="EW14" s="779"/>
      <c r="EX14" s="779"/>
      <c r="EY14" s="779"/>
      <c r="EZ14" s="779"/>
      <c r="FA14" s="779"/>
      <c r="FB14" s="779"/>
      <c r="FC14" s="779"/>
      <c r="FD14" s="779"/>
      <c r="FE14" s="779"/>
      <c r="FF14" s="779"/>
      <c r="FG14" s="779"/>
      <c r="FH14" s="779"/>
      <c r="FI14" s="779"/>
      <c r="FJ14" s="779"/>
      <c r="FK14" s="779"/>
      <c r="FL14" s="779"/>
      <c r="FM14" s="779"/>
      <c r="FN14" s="779"/>
      <c r="FO14" s="779"/>
      <c r="FP14" s="779"/>
      <c r="FQ14" s="779"/>
      <c r="FR14" s="779"/>
      <c r="FS14" s="779"/>
      <c r="FT14" s="779"/>
      <c r="FU14" s="779"/>
      <c r="FV14" s="779"/>
      <c r="FW14" s="779"/>
      <c r="FX14" s="779"/>
      <c r="FY14" s="779"/>
      <c r="FZ14" s="779"/>
      <c r="GA14" s="779"/>
      <c r="GB14" s="779"/>
      <c r="GC14" s="779"/>
      <c r="GD14" s="779"/>
      <c r="GE14" s="779"/>
      <c r="GF14" s="779"/>
      <c r="GG14" s="779"/>
      <c r="GH14" s="779"/>
      <c r="GI14" s="779"/>
      <c r="GJ14" s="779"/>
      <c r="GK14" s="779"/>
      <c r="GL14" s="779"/>
      <c r="GM14" s="779"/>
      <c r="GN14" s="779"/>
      <c r="GO14" s="779"/>
      <c r="GP14" s="779"/>
      <c r="GQ14" s="779"/>
      <c r="GR14" s="779"/>
      <c r="GS14" s="779"/>
      <c r="GT14" s="779"/>
      <c r="GU14" s="779"/>
      <c r="GV14" s="779"/>
      <c r="GW14" s="779"/>
      <c r="GX14" s="779"/>
      <c r="GY14" s="779"/>
      <c r="GZ14" s="779"/>
      <c r="HA14" s="779"/>
      <c r="HB14" s="779"/>
      <c r="HC14" s="779"/>
      <c r="HD14" s="779"/>
      <c r="HE14" s="779"/>
      <c r="HF14" s="779"/>
      <c r="HG14" s="779"/>
      <c r="HH14" s="779"/>
      <c r="HI14" s="779"/>
      <c r="HJ14" s="779"/>
      <c r="HK14" s="779"/>
      <c r="HL14" s="779"/>
      <c r="HM14" s="779"/>
      <c r="HN14" s="779"/>
      <c r="HO14" s="779"/>
      <c r="HP14" s="779"/>
      <c r="HQ14" s="779"/>
      <c r="HR14" s="779"/>
      <c r="HS14" s="779"/>
      <c r="HT14" s="779"/>
      <c r="HU14" s="779"/>
      <c r="HV14" s="779"/>
      <c r="HW14" s="779"/>
      <c r="HX14" s="779"/>
      <c r="HY14" s="779"/>
      <c r="HZ14" s="779"/>
      <c r="IA14" s="779"/>
      <c r="IB14" s="779"/>
      <c r="IC14" s="779"/>
      <c r="ID14" s="779"/>
      <c r="IE14" s="779"/>
      <c r="IF14" s="779"/>
      <c r="IG14" s="779"/>
      <c r="IH14" s="779"/>
      <c r="II14" s="779"/>
      <c r="IJ14" s="779"/>
      <c r="IK14" s="779"/>
      <c r="IL14" s="779"/>
      <c r="IM14" s="779"/>
      <c r="IN14" s="779"/>
      <c r="IO14" s="779"/>
      <c r="IP14" s="779"/>
      <c r="IQ14" s="779"/>
      <c r="IR14" s="779"/>
      <c r="IS14" s="779"/>
      <c r="IT14" s="779"/>
      <c r="IU14" s="779"/>
      <c r="IV14" s="779"/>
    </row>
    <row r="15" spans="1:256" ht="18.95" customHeight="1">
      <c r="A15" s="1245" t="s">
        <v>1323</v>
      </c>
      <c r="B15" s="1246" t="s">
        <v>1015</v>
      </c>
      <c r="C15" s="1202">
        <v>483100</v>
      </c>
      <c r="D15" s="1243">
        <v>20</v>
      </c>
      <c r="E15" s="1202">
        <f t="shared" si="0"/>
        <v>96620</v>
      </c>
      <c r="F15" s="1203">
        <v>12</v>
      </c>
      <c r="G15" s="1244">
        <f t="shared" si="1"/>
        <v>1159440</v>
      </c>
    </row>
    <row r="16" spans="1:256" ht="18.95" customHeight="1">
      <c r="A16" s="1202" t="s">
        <v>1540</v>
      </c>
      <c r="B16" s="1202" t="s">
        <v>1014</v>
      </c>
      <c r="C16" s="1202">
        <v>497200</v>
      </c>
      <c r="D16" s="1243">
        <v>55</v>
      </c>
      <c r="E16" s="1202">
        <f t="shared" si="0"/>
        <v>273460</v>
      </c>
      <c r="F16" s="1203">
        <v>12</v>
      </c>
      <c r="G16" s="1244">
        <f t="shared" si="1"/>
        <v>3281520</v>
      </c>
    </row>
    <row r="17" spans="1:256" s="782" customFormat="1" ht="18.95" customHeight="1">
      <c r="A17" s="1246" t="s">
        <v>1541</v>
      </c>
      <c r="B17" s="1246" t="s">
        <v>1015</v>
      </c>
      <c r="C17" s="1202">
        <v>483100</v>
      </c>
      <c r="D17" s="1243">
        <v>20</v>
      </c>
      <c r="E17" s="1202">
        <f t="shared" si="0"/>
        <v>96620</v>
      </c>
      <c r="F17" s="1208">
        <v>12</v>
      </c>
      <c r="G17" s="1244">
        <f t="shared" si="1"/>
        <v>1159440</v>
      </c>
      <c r="M17" s="779"/>
      <c r="N17" s="779"/>
      <c r="O17" s="779"/>
      <c r="P17" s="779"/>
      <c r="Q17" s="779"/>
      <c r="R17" s="779"/>
      <c r="S17" s="779"/>
      <c r="T17" s="779"/>
      <c r="U17" s="779"/>
      <c r="V17" s="779"/>
      <c r="W17" s="779"/>
      <c r="X17" s="779"/>
      <c r="Y17" s="779"/>
      <c r="Z17" s="779"/>
      <c r="AA17" s="779"/>
      <c r="AB17" s="779"/>
      <c r="AC17" s="779"/>
      <c r="AD17" s="779"/>
      <c r="AE17" s="779"/>
      <c r="AF17" s="779"/>
      <c r="AG17" s="779"/>
      <c r="AH17" s="779"/>
      <c r="AI17" s="779"/>
      <c r="AJ17" s="779"/>
      <c r="AK17" s="779"/>
      <c r="AL17" s="779"/>
      <c r="AM17" s="779"/>
      <c r="AN17" s="779"/>
      <c r="AO17" s="779"/>
      <c r="AP17" s="779"/>
      <c r="AQ17" s="779"/>
      <c r="AR17" s="779"/>
      <c r="AS17" s="779"/>
      <c r="AT17" s="779"/>
      <c r="AU17" s="779"/>
      <c r="AV17" s="779"/>
      <c r="AW17" s="779"/>
      <c r="AX17" s="779"/>
      <c r="AY17" s="779"/>
      <c r="AZ17" s="779"/>
      <c r="BA17" s="779"/>
      <c r="BB17" s="779"/>
      <c r="BC17" s="779"/>
      <c r="BD17" s="779"/>
      <c r="BE17" s="779"/>
      <c r="BF17" s="779"/>
      <c r="BG17" s="779"/>
      <c r="BH17" s="779"/>
      <c r="BI17" s="779"/>
      <c r="BJ17" s="779"/>
      <c r="BK17" s="779"/>
      <c r="BL17" s="779"/>
      <c r="BM17" s="779"/>
      <c r="BN17" s="779"/>
      <c r="BO17" s="779"/>
      <c r="BP17" s="779"/>
      <c r="BQ17" s="779"/>
      <c r="BR17" s="779"/>
      <c r="BS17" s="779"/>
      <c r="BT17" s="779"/>
      <c r="BU17" s="779"/>
      <c r="BV17" s="779"/>
      <c r="BW17" s="779"/>
      <c r="BX17" s="779"/>
      <c r="BY17" s="779"/>
      <c r="BZ17" s="779"/>
      <c r="CA17" s="779"/>
      <c r="CB17" s="779"/>
      <c r="CC17" s="779"/>
      <c r="CD17" s="779"/>
      <c r="CE17" s="779"/>
      <c r="CF17" s="779"/>
      <c r="CG17" s="779"/>
      <c r="CH17" s="779"/>
      <c r="CI17" s="779"/>
      <c r="CJ17" s="779"/>
      <c r="CK17" s="779"/>
      <c r="CL17" s="779"/>
      <c r="CM17" s="779"/>
      <c r="CN17" s="779"/>
      <c r="CO17" s="779"/>
      <c r="CP17" s="779"/>
      <c r="CQ17" s="779"/>
      <c r="CR17" s="779"/>
      <c r="CS17" s="779"/>
      <c r="CT17" s="779"/>
      <c r="CU17" s="779"/>
      <c r="CV17" s="779"/>
      <c r="CW17" s="779"/>
      <c r="CX17" s="779"/>
      <c r="CY17" s="779"/>
      <c r="CZ17" s="779"/>
      <c r="DA17" s="779"/>
      <c r="DB17" s="779"/>
      <c r="DC17" s="779"/>
      <c r="DD17" s="779"/>
      <c r="DE17" s="779"/>
      <c r="DF17" s="779"/>
      <c r="DG17" s="779"/>
      <c r="DH17" s="779"/>
      <c r="DI17" s="779"/>
      <c r="DJ17" s="779"/>
      <c r="DK17" s="779"/>
      <c r="DL17" s="779"/>
      <c r="DM17" s="779"/>
      <c r="DN17" s="779"/>
      <c r="DO17" s="779"/>
      <c r="DP17" s="779"/>
      <c r="DQ17" s="779"/>
      <c r="DR17" s="779"/>
      <c r="DS17" s="779"/>
      <c r="DT17" s="779"/>
      <c r="DU17" s="779"/>
      <c r="DV17" s="779"/>
      <c r="DW17" s="779"/>
      <c r="DX17" s="779"/>
      <c r="DY17" s="779"/>
      <c r="DZ17" s="779"/>
      <c r="EA17" s="779"/>
      <c r="EB17" s="779"/>
      <c r="EC17" s="779"/>
      <c r="ED17" s="779"/>
      <c r="EE17" s="779"/>
      <c r="EF17" s="779"/>
      <c r="EG17" s="779"/>
      <c r="EH17" s="779"/>
      <c r="EI17" s="779"/>
      <c r="EJ17" s="779"/>
      <c r="EK17" s="779"/>
      <c r="EL17" s="779"/>
      <c r="EM17" s="779"/>
      <c r="EN17" s="779"/>
      <c r="EO17" s="779"/>
      <c r="EP17" s="779"/>
      <c r="EQ17" s="779"/>
      <c r="ER17" s="779"/>
      <c r="ES17" s="779"/>
      <c r="ET17" s="779"/>
      <c r="EU17" s="779"/>
      <c r="EV17" s="779"/>
      <c r="EW17" s="779"/>
      <c r="EX17" s="779"/>
      <c r="EY17" s="779"/>
      <c r="EZ17" s="779"/>
      <c r="FA17" s="779"/>
      <c r="FB17" s="779"/>
      <c r="FC17" s="779"/>
      <c r="FD17" s="779"/>
      <c r="FE17" s="779"/>
      <c r="FF17" s="779"/>
      <c r="FG17" s="779"/>
      <c r="FH17" s="779"/>
      <c r="FI17" s="779"/>
      <c r="FJ17" s="779"/>
      <c r="FK17" s="779"/>
      <c r="FL17" s="779"/>
      <c r="FM17" s="779"/>
      <c r="FN17" s="779"/>
      <c r="FO17" s="779"/>
      <c r="FP17" s="779"/>
      <c r="FQ17" s="779"/>
      <c r="FR17" s="779"/>
      <c r="FS17" s="779"/>
      <c r="FT17" s="779"/>
      <c r="FU17" s="779"/>
      <c r="FV17" s="779"/>
      <c r="FW17" s="779"/>
      <c r="FX17" s="779"/>
      <c r="FY17" s="779"/>
      <c r="FZ17" s="779"/>
      <c r="GA17" s="779"/>
      <c r="GB17" s="779"/>
      <c r="GC17" s="779"/>
      <c r="GD17" s="779"/>
      <c r="GE17" s="779"/>
      <c r="GF17" s="779"/>
      <c r="GG17" s="779"/>
      <c r="GH17" s="779"/>
      <c r="GI17" s="779"/>
      <c r="GJ17" s="779"/>
      <c r="GK17" s="779"/>
      <c r="GL17" s="779"/>
      <c r="GM17" s="779"/>
      <c r="GN17" s="779"/>
      <c r="GO17" s="779"/>
      <c r="GP17" s="779"/>
      <c r="GQ17" s="779"/>
      <c r="GR17" s="779"/>
      <c r="GS17" s="779"/>
      <c r="GT17" s="779"/>
      <c r="GU17" s="779"/>
      <c r="GV17" s="779"/>
      <c r="GW17" s="779"/>
      <c r="GX17" s="779"/>
      <c r="GY17" s="779"/>
      <c r="GZ17" s="779"/>
      <c r="HA17" s="779"/>
      <c r="HB17" s="779"/>
      <c r="HC17" s="779"/>
      <c r="HD17" s="779"/>
      <c r="HE17" s="779"/>
      <c r="HF17" s="779"/>
      <c r="HG17" s="779"/>
      <c r="HH17" s="779"/>
      <c r="HI17" s="779"/>
      <c r="HJ17" s="779"/>
      <c r="HK17" s="779"/>
      <c r="HL17" s="779"/>
      <c r="HM17" s="779"/>
      <c r="HN17" s="779"/>
      <c r="HO17" s="779"/>
      <c r="HP17" s="779"/>
      <c r="HQ17" s="779"/>
      <c r="HR17" s="779"/>
      <c r="HS17" s="779"/>
      <c r="HT17" s="779"/>
      <c r="HU17" s="779"/>
      <c r="HV17" s="779"/>
      <c r="HW17" s="779"/>
      <c r="HX17" s="779"/>
      <c r="HY17" s="779"/>
      <c r="HZ17" s="779"/>
      <c r="IA17" s="779"/>
      <c r="IB17" s="779"/>
      <c r="IC17" s="779"/>
      <c r="ID17" s="779"/>
      <c r="IE17" s="779"/>
      <c r="IF17" s="779"/>
      <c r="IG17" s="779"/>
      <c r="IH17" s="779"/>
      <c r="II17" s="779"/>
      <c r="IJ17" s="779"/>
      <c r="IK17" s="779"/>
      <c r="IL17" s="779"/>
      <c r="IM17" s="779"/>
      <c r="IN17" s="779"/>
      <c r="IO17" s="779"/>
      <c r="IP17" s="779"/>
      <c r="IQ17" s="779"/>
      <c r="IR17" s="779"/>
      <c r="IS17" s="779"/>
      <c r="IT17" s="779"/>
      <c r="IU17" s="779"/>
      <c r="IV17" s="779"/>
    </row>
    <row r="18" spans="1:256" ht="18.95" customHeight="1">
      <c r="A18" s="1245" t="s">
        <v>1542</v>
      </c>
      <c r="B18" s="1246" t="s">
        <v>1014</v>
      </c>
      <c r="C18" s="1202">
        <v>497200</v>
      </c>
      <c r="D18" s="1243">
        <v>55</v>
      </c>
      <c r="E18" s="1202">
        <f t="shared" si="0"/>
        <v>273460</v>
      </c>
      <c r="F18" s="1203">
        <v>12</v>
      </c>
      <c r="G18" s="1244">
        <f t="shared" si="1"/>
        <v>3281520</v>
      </c>
    </row>
    <row r="19" spans="1:256" s="782" customFormat="1" ht="18.95" customHeight="1">
      <c r="A19" s="1202" t="s">
        <v>1289</v>
      </c>
      <c r="B19" s="1202" t="s">
        <v>1014</v>
      </c>
      <c r="C19" s="1202">
        <v>497200</v>
      </c>
      <c r="D19" s="1243">
        <v>55</v>
      </c>
      <c r="E19" s="1202">
        <f t="shared" si="0"/>
        <v>273460</v>
      </c>
      <c r="F19" s="1208">
        <v>12</v>
      </c>
      <c r="G19" s="1244">
        <f t="shared" si="1"/>
        <v>3281520</v>
      </c>
      <c r="M19" s="779"/>
      <c r="N19" s="779"/>
      <c r="O19" s="779"/>
      <c r="P19" s="779"/>
      <c r="Q19" s="779"/>
      <c r="R19" s="779"/>
      <c r="S19" s="779"/>
      <c r="T19" s="779"/>
      <c r="U19" s="779"/>
      <c r="V19" s="779"/>
      <c r="W19" s="779"/>
      <c r="X19" s="779"/>
      <c r="Y19" s="779"/>
      <c r="Z19" s="779"/>
      <c r="AA19" s="779"/>
      <c r="AB19" s="779"/>
      <c r="AC19" s="779"/>
      <c r="AD19" s="779"/>
      <c r="AE19" s="779"/>
      <c r="AF19" s="779"/>
      <c r="AG19" s="779"/>
      <c r="AH19" s="779"/>
      <c r="AI19" s="779"/>
      <c r="AJ19" s="779"/>
      <c r="AK19" s="779"/>
      <c r="AL19" s="779"/>
      <c r="AM19" s="779"/>
      <c r="AN19" s="779"/>
      <c r="AO19" s="779"/>
      <c r="AP19" s="779"/>
      <c r="AQ19" s="779"/>
      <c r="AR19" s="779"/>
      <c r="AS19" s="779"/>
      <c r="AT19" s="779"/>
      <c r="AU19" s="779"/>
      <c r="AV19" s="779"/>
      <c r="AW19" s="779"/>
      <c r="AX19" s="779"/>
      <c r="AY19" s="779"/>
      <c r="AZ19" s="779"/>
      <c r="BA19" s="779"/>
      <c r="BB19" s="779"/>
      <c r="BC19" s="779"/>
      <c r="BD19" s="779"/>
      <c r="BE19" s="779"/>
      <c r="BF19" s="779"/>
      <c r="BG19" s="779"/>
      <c r="BH19" s="779"/>
      <c r="BI19" s="779"/>
      <c r="BJ19" s="779"/>
      <c r="BK19" s="779"/>
      <c r="BL19" s="779"/>
      <c r="BM19" s="779"/>
      <c r="BN19" s="779"/>
      <c r="BO19" s="779"/>
      <c r="BP19" s="779"/>
      <c r="BQ19" s="779"/>
      <c r="BR19" s="779"/>
      <c r="BS19" s="779"/>
      <c r="BT19" s="779"/>
      <c r="BU19" s="779"/>
      <c r="BV19" s="779"/>
      <c r="BW19" s="779"/>
      <c r="BX19" s="779"/>
      <c r="BY19" s="779"/>
      <c r="BZ19" s="779"/>
      <c r="CA19" s="779"/>
      <c r="CB19" s="779"/>
      <c r="CC19" s="779"/>
      <c r="CD19" s="779"/>
      <c r="CE19" s="779"/>
      <c r="CF19" s="779"/>
      <c r="CG19" s="779"/>
      <c r="CH19" s="779"/>
      <c r="CI19" s="779"/>
      <c r="CJ19" s="779"/>
      <c r="CK19" s="779"/>
      <c r="CL19" s="779"/>
      <c r="CM19" s="779"/>
      <c r="CN19" s="779"/>
      <c r="CO19" s="779"/>
      <c r="CP19" s="779"/>
      <c r="CQ19" s="779"/>
      <c r="CR19" s="779"/>
      <c r="CS19" s="779"/>
      <c r="CT19" s="779"/>
      <c r="CU19" s="779"/>
      <c r="CV19" s="779"/>
      <c r="CW19" s="779"/>
      <c r="CX19" s="779"/>
      <c r="CY19" s="779"/>
      <c r="CZ19" s="779"/>
      <c r="DA19" s="779"/>
      <c r="DB19" s="779"/>
      <c r="DC19" s="779"/>
      <c r="DD19" s="779"/>
      <c r="DE19" s="779"/>
      <c r="DF19" s="779"/>
      <c r="DG19" s="779"/>
      <c r="DH19" s="779"/>
      <c r="DI19" s="779"/>
      <c r="DJ19" s="779"/>
      <c r="DK19" s="779"/>
      <c r="DL19" s="779"/>
      <c r="DM19" s="779"/>
      <c r="DN19" s="779"/>
      <c r="DO19" s="779"/>
      <c r="DP19" s="779"/>
      <c r="DQ19" s="779"/>
      <c r="DR19" s="779"/>
      <c r="DS19" s="779"/>
      <c r="DT19" s="779"/>
      <c r="DU19" s="779"/>
      <c r="DV19" s="779"/>
      <c r="DW19" s="779"/>
      <c r="DX19" s="779"/>
      <c r="DY19" s="779"/>
      <c r="DZ19" s="779"/>
      <c r="EA19" s="779"/>
      <c r="EB19" s="779"/>
      <c r="EC19" s="779"/>
      <c r="ED19" s="779"/>
      <c r="EE19" s="779"/>
      <c r="EF19" s="779"/>
      <c r="EG19" s="779"/>
      <c r="EH19" s="779"/>
      <c r="EI19" s="779"/>
      <c r="EJ19" s="779"/>
      <c r="EK19" s="779"/>
      <c r="EL19" s="779"/>
      <c r="EM19" s="779"/>
      <c r="EN19" s="779"/>
      <c r="EO19" s="779"/>
      <c r="EP19" s="779"/>
      <c r="EQ19" s="779"/>
      <c r="ER19" s="779"/>
      <c r="ES19" s="779"/>
      <c r="ET19" s="779"/>
      <c r="EU19" s="779"/>
      <c r="EV19" s="779"/>
      <c r="EW19" s="779"/>
      <c r="EX19" s="779"/>
      <c r="EY19" s="779"/>
      <c r="EZ19" s="779"/>
      <c r="FA19" s="779"/>
      <c r="FB19" s="779"/>
      <c r="FC19" s="779"/>
      <c r="FD19" s="779"/>
      <c r="FE19" s="779"/>
      <c r="FF19" s="779"/>
      <c r="FG19" s="779"/>
      <c r="FH19" s="779"/>
      <c r="FI19" s="779"/>
      <c r="FJ19" s="779"/>
      <c r="FK19" s="779"/>
      <c r="FL19" s="779"/>
      <c r="FM19" s="779"/>
      <c r="FN19" s="779"/>
      <c r="FO19" s="779"/>
      <c r="FP19" s="779"/>
      <c r="FQ19" s="779"/>
      <c r="FR19" s="779"/>
      <c r="FS19" s="779"/>
      <c r="FT19" s="779"/>
      <c r="FU19" s="779"/>
      <c r="FV19" s="779"/>
      <c r="FW19" s="779"/>
      <c r="FX19" s="779"/>
      <c r="FY19" s="779"/>
      <c r="FZ19" s="779"/>
      <c r="GA19" s="779"/>
      <c r="GB19" s="779"/>
      <c r="GC19" s="779"/>
      <c r="GD19" s="779"/>
      <c r="GE19" s="779"/>
      <c r="GF19" s="779"/>
      <c r="GG19" s="779"/>
      <c r="GH19" s="779"/>
      <c r="GI19" s="779"/>
      <c r="GJ19" s="779"/>
      <c r="GK19" s="779"/>
      <c r="GL19" s="779"/>
      <c r="GM19" s="779"/>
      <c r="GN19" s="779"/>
      <c r="GO19" s="779"/>
      <c r="GP19" s="779"/>
      <c r="GQ19" s="779"/>
      <c r="GR19" s="779"/>
      <c r="GS19" s="779"/>
      <c r="GT19" s="779"/>
      <c r="GU19" s="779"/>
      <c r="GV19" s="779"/>
      <c r="GW19" s="779"/>
      <c r="GX19" s="779"/>
      <c r="GY19" s="779"/>
      <c r="GZ19" s="779"/>
      <c r="HA19" s="779"/>
      <c r="HB19" s="779"/>
      <c r="HC19" s="779"/>
      <c r="HD19" s="779"/>
      <c r="HE19" s="779"/>
      <c r="HF19" s="779"/>
      <c r="HG19" s="779"/>
      <c r="HH19" s="779"/>
      <c r="HI19" s="779"/>
      <c r="HJ19" s="779"/>
      <c r="HK19" s="779"/>
      <c r="HL19" s="779"/>
      <c r="HM19" s="779"/>
      <c r="HN19" s="779"/>
      <c r="HO19" s="779"/>
      <c r="HP19" s="779"/>
      <c r="HQ19" s="779"/>
      <c r="HR19" s="779"/>
      <c r="HS19" s="779"/>
      <c r="HT19" s="779"/>
      <c r="HU19" s="779"/>
      <c r="HV19" s="779"/>
      <c r="HW19" s="779"/>
      <c r="HX19" s="779"/>
      <c r="HY19" s="779"/>
      <c r="HZ19" s="779"/>
      <c r="IA19" s="779"/>
      <c r="IB19" s="779"/>
      <c r="IC19" s="779"/>
      <c r="ID19" s="779"/>
      <c r="IE19" s="779"/>
      <c r="IF19" s="779"/>
      <c r="IG19" s="779"/>
      <c r="IH19" s="779"/>
      <c r="II19" s="779"/>
      <c r="IJ19" s="779"/>
      <c r="IK19" s="779"/>
      <c r="IL19" s="779"/>
      <c r="IM19" s="779"/>
      <c r="IN19" s="779"/>
      <c r="IO19" s="779"/>
      <c r="IP19" s="779"/>
      <c r="IQ19" s="779"/>
      <c r="IR19" s="779"/>
      <c r="IS19" s="779"/>
      <c r="IT19" s="779"/>
      <c r="IU19" s="779"/>
      <c r="IV19" s="779"/>
    </row>
    <row r="20" spans="1:256" s="782" customFormat="1" ht="18.95" customHeight="1">
      <c r="A20" s="1246" t="s">
        <v>1543</v>
      </c>
      <c r="B20" s="1246" t="s">
        <v>1044</v>
      </c>
      <c r="C20" s="1202">
        <v>608400</v>
      </c>
      <c r="D20" s="1243">
        <v>55</v>
      </c>
      <c r="E20" s="1202">
        <f t="shared" si="0"/>
        <v>334620</v>
      </c>
      <c r="F20" s="1208">
        <v>12</v>
      </c>
      <c r="G20" s="1244">
        <f t="shared" si="1"/>
        <v>4015440</v>
      </c>
      <c r="M20" s="779"/>
      <c r="N20" s="779"/>
      <c r="O20" s="779"/>
      <c r="P20" s="779"/>
      <c r="Q20" s="779"/>
      <c r="R20" s="779"/>
      <c r="S20" s="779"/>
      <c r="T20" s="779"/>
      <c r="U20" s="779"/>
      <c r="V20" s="779"/>
      <c r="W20" s="779"/>
      <c r="X20" s="779"/>
      <c r="Y20" s="779"/>
      <c r="Z20" s="779"/>
      <c r="AA20" s="779"/>
      <c r="AB20" s="779"/>
      <c r="AC20" s="779"/>
      <c r="AD20" s="779"/>
      <c r="AE20" s="779"/>
      <c r="AF20" s="779"/>
      <c r="AG20" s="779"/>
      <c r="AH20" s="779"/>
      <c r="AI20" s="779"/>
      <c r="AJ20" s="779"/>
      <c r="AK20" s="779"/>
      <c r="AL20" s="779"/>
      <c r="AM20" s="779"/>
      <c r="AN20" s="779"/>
      <c r="AO20" s="779"/>
      <c r="AP20" s="779"/>
      <c r="AQ20" s="779"/>
      <c r="AR20" s="779"/>
      <c r="AS20" s="779"/>
      <c r="AT20" s="779"/>
      <c r="AU20" s="779"/>
      <c r="AV20" s="779"/>
      <c r="AW20" s="779"/>
      <c r="AX20" s="779"/>
      <c r="AY20" s="779"/>
      <c r="AZ20" s="779"/>
      <c r="BA20" s="779"/>
      <c r="BB20" s="779"/>
      <c r="BC20" s="779"/>
      <c r="BD20" s="779"/>
      <c r="BE20" s="779"/>
      <c r="BF20" s="779"/>
      <c r="BG20" s="779"/>
      <c r="BH20" s="779"/>
      <c r="BI20" s="779"/>
      <c r="BJ20" s="779"/>
      <c r="BK20" s="779"/>
      <c r="BL20" s="779"/>
      <c r="BM20" s="779"/>
      <c r="BN20" s="779"/>
      <c r="BO20" s="779"/>
      <c r="BP20" s="779"/>
      <c r="BQ20" s="779"/>
      <c r="BR20" s="779"/>
      <c r="BS20" s="779"/>
      <c r="BT20" s="779"/>
      <c r="BU20" s="779"/>
      <c r="BV20" s="779"/>
      <c r="BW20" s="779"/>
      <c r="BX20" s="779"/>
      <c r="BY20" s="779"/>
      <c r="BZ20" s="779"/>
      <c r="CA20" s="779"/>
      <c r="CB20" s="779"/>
      <c r="CC20" s="779"/>
      <c r="CD20" s="779"/>
      <c r="CE20" s="779"/>
      <c r="CF20" s="779"/>
      <c r="CG20" s="779"/>
      <c r="CH20" s="779"/>
      <c r="CI20" s="779"/>
      <c r="CJ20" s="779"/>
      <c r="CK20" s="779"/>
      <c r="CL20" s="779"/>
      <c r="CM20" s="779"/>
      <c r="CN20" s="779"/>
      <c r="CO20" s="779"/>
      <c r="CP20" s="779"/>
      <c r="CQ20" s="779"/>
      <c r="CR20" s="779"/>
      <c r="CS20" s="779"/>
      <c r="CT20" s="779"/>
      <c r="CU20" s="779"/>
      <c r="CV20" s="779"/>
      <c r="CW20" s="779"/>
      <c r="CX20" s="779"/>
      <c r="CY20" s="779"/>
      <c r="CZ20" s="779"/>
      <c r="DA20" s="779"/>
      <c r="DB20" s="779"/>
      <c r="DC20" s="779"/>
      <c r="DD20" s="779"/>
      <c r="DE20" s="779"/>
      <c r="DF20" s="779"/>
      <c r="DG20" s="779"/>
      <c r="DH20" s="779"/>
      <c r="DI20" s="779"/>
      <c r="DJ20" s="779"/>
      <c r="DK20" s="779"/>
      <c r="DL20" s="779"/>
      <c r="DM20" s="779"/>
      <c r="DN20" s="779"/>
      <c r="DO20" s="779"/>
      <c r="DP20" s="779"/>
      <c r="DQ20" s="779"/>
      <c r="DR20" s="779"/>
      <c r="DS20" s="779"/>
      <c r="DT20" s="779"/>
      <c r="DU20" s="779"/>
      <c r="DV20" s="779"/>
      <c r="DW20" s="779"/>
      <c r="DX20" s="779"/>
      <c r="DY20" s="779"/>
      <c r="DZ20" s="779"/>
      <c r="EA20" s="779"/>
      <c r="EB20" s="779"/>
      <c r="EC20" s="779"/>
      <c r="ED20" s="779"/>
      <c r="EE20" s="779"/>
      <c r="EF20" s="779"/>
      <c r="EG20" s="779"/>
      <c r="EH20" s="779"/>
      <c r="EI20" s="779"/>
      <c r="EJ20" s="779"/>
      <c r="EK20" s="779"/>
      <c r="EL20" s="779"/>
      <c r="EM20" s="779"/>
      <c r="EN20" s="779"/>
      <c r="EO20" s="779"/>
      <c r="EP20" s="779"/>
      <c r="EQ20" s="779"/>
      <c r="ER20" s="779"/>
      <c r="ES20" s="779"/>
      <c r="ET20" s="779"/>
      <c r="EU20" s="779"/>
      <c r="EV20" s="779"/>
      <c r="EW20" s="779"/>
      <c r="EX20" s="779"/>
      <c r="EY20" s="779"/>
      <c r="EZ20" s="779"/>
      <c r="FA20" s="779"/>
      <c r="FB20" s="779"/>
      <c r="FC20" s="779"/>
      <c r="FD20" s="779"/>
      <c r="FE20" s="779"/>
      <c r="FF20" s="779"/>
      <c r="FG20" s="779"/>
      <c r="FH20" s="779"/>
      <c r="FI20" s="779"/>
      <c r="FJ20" s="779"/>
      <c r="FK20" s="779"/>
      <c r="FL20" s="779"/>
      <c r="FM20" s="779"/>
      <c r="FN20" s="779"/>
      <c r="FO20" s="779"/>
      <c r="FP20" s="779"/>
      <c r="FQ20" s="779"/>
      <c r="FR20" s="779"/>
      <c r="FS20" s="779"/>
      <c r="FT20" s="779"/>
      <c r="FU20" s="779"/>
      <c r="FV20" s="779"/>
      <c r="FW20" s="779"/>
      <c r="FX20" s="779"/>
      <c r="FY20" s="779"/>
      <c r="FZ20" s="779"/>
      <c r="GA20" s="779"/>
      <c r="GB20" s="779"/>
      <c r="GC20" s="779"/>
      <c r="GD20" s="779"/>
      <c r="GE20" s="779"/>
      <c r="GF20" s="779"/>
      <c r="GG20" s="779"/>
      <c r="GH20" s="779"/>
      <c r="GI20" s="779"/>
      <c r="GJ20" s="779"/>
      <c r="GK20" s="779"/>
      <c r="GL20" s="779"/>
      <c r="GM20" s="779"/>
      <c r="GN20" s="779"/>
      <c r="GO20" s="779"/>
      <c r="GP20" s="779"/>
      <c r="GQ20" s="779"/>
      <c r="GR20" s="779"/>
      <c r="GS20" s="779"/>
      <c r="GT20" s="779"/>
      <c r="GU20" s="779"/>
      <c r="GV20" s="779"/>
      <c r="GW20" s="779"/>
      <c r="GX20" s="779"/>
      <c r="GY20" s="779"/>
      <c r="GZ20" s="779"/>
      <c r="HA20" s="779"/>
      <c r="HB20" s="779"/>
      <c r="HC20" s="779"/>
      <c r="HD20" s="779"/>
      <c r="HE20" s="779"/>
      <c r="HF20" s="779"/>
      <c r="HG20" s="779"/>
      <c r="HH20" s="779"/>
      <c r="HI20" s="779"/>
      <c r="HJ20" s="779"/>
      <c r="HK20" s="779"/>
      <c r="HL20" s="779"/>
      <c r="HM20" s="779"/>
      <c r="HN20" s="779"/>
      <c r="HO20" s="779"/>
      <c r="HP20" s="779"/>
      <c r="HQ20" s="779"/>
      <c r="HR20" s="779"/>
      <c r="HS20" s="779"/>
      <c r="HT20" s="779"/>
      <c r="HU20" s="779"/>
      <c r="HV20" s="779"/>
      <c r="HW20" s="779"/>
      <c r="HX20" s="779"/>
      <c r="HY20" s="779"/>
      <c r="HZ20" s="779"/>
      <c r="IA20" s="779"/>
      <c r="IB20" s="779"/>
      <c r="IC20" s="779"/>
      <c r="ID20" s="779"/>
      <c r="IE20" s="779"/>
      <c r="IF20" s="779"/>
      <c r="IG20" s="779"/>
      <c r="IH20" s="779"/>
      <c r="II20" s="779"/>
      <c r="IJ20" s="779"/>
      <c r="IK20" s="779"/>
      <c r="IL20" s="779"/>
      <c r="IM20" s="779"/>
      <c r="IN20" s="779"/>
      <c r="IO20" s="779"/>
      <c r="IP20" s="779"/>
      <c r="IQ20" s="779"/>
      <c r="IR20" s="779"/>
      <c r="IS20" s="779"/>
      <c r="IT20" s="779"/>
      <c r="IU20" s="779"/>
      <c r="IV20" s="779"/>
    </row>
    <row r="21" spans="1:256" ht="18.95" customHeight="1">
      <c r="A21" s="1202" t="s">
        <v>1286</v>
      </c>
      <c r="B21" s="1202" t="s">
        <v>1015</v>
      </c>
      <c r="C21" s="1202">
        <v>483100</v>
      </c>
      <c r="D21" s="1243">
        <v>20</v>
      </c>
      <c r="E21" s="1202">
        <f t="shared" si="0"/>
        <v>96620</v>
      </c>
      <c r="F21" s="1203">
        <v>12</v>
      </c>
      <c r="G21" s="1244">
        <f t="shared" si="1"/>
        <v>1159440</v>
      </c>
    </row>
    <row r="22" spans="1:256" s="782" customFormat="1" ht="18.95" customHeight="1">
      <c r="A22" s="1245" t="s">
        <v>1285</v>
      </c>
      <c r="B22" s="1246" t="s">
        <v>1015</v>
      </c>
      <c r="C22" s="1202">
        <v>483100</v>
      </c>
      <c r="D22" s="1243">
        <v>20</v>
      </c>
      <c r="E22" s="1202">
        <f>ROUNDUP($C$10*D22%,0)</f>
        <v>96620</v>
      </c>
      <c r="F22" s="1203">
        <v>12</v>
      </c>
      <c r="G22" s="1247">
        <f t="shared" si="1"/>
        <v>1159440</v>
      </c>
    </row>
    <row r="23" spans="1:256" s="782" customFormat="1" ht="18.95" customHeight="1">
      <c r="A23" s="1202" t="s">
        <v>1287</v>
      </c>
      <c r="B23" s="1202" t="s">
        <v>1015</v>
      </c>
      <c r="C23" s="1202">
        <v>483100</v>
      </c>
      <c r="D23" s="1243">
        <v>20</v>
      </c>
      <c r="E23" s="1202">
        <f>C23*D23%</f>
        <v>96620</v>
      </c>
      <c r="F23" s="1208">
        <v>12</v>
      </c>
      <c r="G23" s="1244">
        <f t="shared" si="1"/>
        <v>1159440</v>
      </c>
      <c r="M23" s="779"/>
      <c r="N23" s="779"/>
      <c r="O23" s="779"/>
      <c r="P23" s="779"/>
      <c r="Q23" s="779"/>
      <c r="R23" s="779"/>
      <c r="S23" s="779"/>
      <c r="T23" s="779"/>
      <c r="U23" s="779"/>
      <c r="V23" s="779"/>
      <c r="W23" s="779"/>
      <c r="X23" s="779"/>
      <c r="Y23" s="779"/>
      <c r="Z23" s="779"/>
      <c r="AA23" s="779"/>
      <c r="AB23" s="779"/>
      <c r="AC23" s="779"/>
      <c r="AD23" s="779"/>
      <c r="AE23" s="779"/>
      <c r="AF23" s="779"/>
      <c r="AG23" s="779"/>
      <c r="AH23" s="779"/>
      <c r="AI23" s="779"/>
      <c r="AJ23" s="779"/>
      <c r="AK23" s="779"/>
      <c r="AL23" s="779"/>
      <c r="AM23" s="779"/>
      <c r="AN23" s="779"/>
      <c r="AO23" s="779"/>
      <c r="AP23" s="779"/>
      <c r="AQ23" s="779"/>
      <c r="AR23" s="779"/>
      <c r="AS23" s="779"/>
      <c r="AT23" s="779"/>
      <c r="AU23" s="779"/>
      <c r="AV23" s="779"/>
      <c r="AW23" s="779"/>
      <c r="AX23" s="779"/>
      <c r="AY23" s="779"/>
      <c r="AZ23" s="779"/>
      <c r="BA23" s="779"/>
      <c r="BB23" s="779"/>
      <c r="BC23" s="779"/>
      <c r="BD23" s="779"/>
      <c r="BE23" s="779"/>
      <c r="BF23" s="779"/>
      <c r="BG23" s="779"/>
      <c r="BH23" s="779"/>
      <c r="BI23" s="779"/>
      <c r="BJ23" s="779"/>
      <c r="BK23" s="779"/>
      <c r="BL23" s="779"/>
      <c r="BM23" s="779"/>
      <c r="BN23" s="779"/>
      <c r="BO23" s="779"/>
      <c r="BP23" s="779"/>
      <c r="BQ23" s="779"/>
      <c r="BR23" s="779"/>
      <c r="BS23" s="779"/>
      <c r="BT23" s="779"/>
      <c r="BU23" s="779"/>
      <c r="BV23" s="779"/>
      <c r="BW23" s="779"/>
      <c r="BX23" s="779"/>
      <c r="BY23" s="779"/>
      <c r="BZ23" s="779"/>
      <c r="CA23" s="779"/>
      <c r="CB23" s="779"/>
      <c r="CC23" s="779"/>
      <c r="CD23" s="779"/>
      <c r="CE23" s="779"/>
      <c r="CF23" s="779"/>
      <c r="CG23" s="779"/>
      <c r="CH23" s="779"/>
      <c r="CI23" s="779"/>
      <c r="CJ23" s="779"/>
      <c r="CK23" s="779"/>
      <c r="CL23" s="779"/>
      <c r="CM23" s="779"/>
      <c r="CN23" s="779"/>
      <c r="CO23" s="779"/>
      <c r="CP23" s="779"/>
      <c r="CQ23" s="779"/>
      <c r="CR23" s="779"/>
      <c r="CS23" s="779"/>
      <c r="CT23" s="779"/>
      <c r="CU23" s="779"/>
      <c r="CV23" s="779"/>
      <c r="CW23" s="779"/>
      <c r="CX23" s="779"/>
      <c r="CY23" s="779"/>
      <c r="CZ23" s="779"/>
      <c r="DA23" s="779"/>
      <c r="DB23" s="779"/>
      <c r="DC23" s="779"/>
      <c r="DD23" s="779"/>
      <c r="DE23" s="779"/>
      <c r="DF23" s="779"/>
      <c r="DG23" s="779"/>
      <c r="DH23" s="779"/>
      <c r="DI23" s="779"/>
      <c r="DJ23" s="779"/>
      <c r="DK23" s="779"/>
      <c r="DL23" s="779"/>
      <c r="DM23" s="779"/>
      <c r="DN23" s="779"/>
      <c r="DO23" s="779"/>
      <c r="DP23" s="779"/>
      <c r="DQ23" s="779"/>
      <c r="DR23" s="779"/>
      <c r="DS23" s="779"/>
      <c r="DT23" s="779"/>
      <c r="DU23" s="779"/>
      <c r="DV23" s="779"/>
      <c r="DW23" s="779"/>
      <c r="DX23" s="779"/>
      <c r="DY23" s="779"/>
      <c r="DZ23" s="779"/>
      <c r="EA23" s="779"/>
      <c r="EB23" s="779"/>
      <c r="EC23" s="779"/>
      <c r="ED23" s="779"/>
      <c r="EE23" s="779"/>
      <c r="EF23" s="779"/>
      <c r="EG23" s="779"/>
      <c r="EH23" s="779"/>
      <c r="EI23" s="779"/>
      <c r="EJ23" s="779"/>
      <c r="EK23" s="779"/>
      <c r="EL23" s="779"/>
      <c r="EM23" s="779"/>
      <c r="EN23" s="779"/>
      <c r="EO23" s="779"/>
      <c r="EP23" s="779"/>
      <c r="EQ23" s="779"/>
      <c r="ER23" s="779"/>
      <c r="ES23" s="779"/>
      <c r="ET23" s="779"/>
      <c r="EU23" s="779"/>
      <c r="EV23" s="779"/>
      <c r="EW23" s="779"/>
      <c r="EX23" s="779"/>
      <c r="EY23" s="779"/>
      <c r="EZ23" s="779"/>
      <c r="FA23" s="779"/>
      <c r="FB23" s="779"/>
      <c r="FC23" s="779"/>
      <c r="FD23" s="779"/>
      <c r="FE23" s="779"/>
      <c r="FF23" s="779"/>
      <c r="FG23" s="779"/>
      <c r="FH23" s="779"/>
      <c r="FI23" s="779"/>
      <c r="FJ23" s="779"/>
      <c r="FK23" s="779"/>
      <c r="FL23" s="779"/>
      <c r="FM23" s="779"/>
      <c r="FN23" s="779"/>
      <c r="FO23" s="779"/>
      <c r="FP23" s="779"/>
      <c r="FQ23" s="779"/>
      <c r="FR23" s="779"/>
      <c r="FS23" s="779"/>
      <c r="FT23" s="779"/>
      <c r="FU23" s="779"/>
      <c r="FV23" s="779"/>
      <c r="FW23" s="779"/>
      <c r="FX23" s="779"/>
      <c r="FY23" s="779"/>
      <c r="FZ23" s="779"/>
      <c r="GA23" s="779"/>
      <c r="GB23" s="779"/>
      <c r="GC23" s="779"/>
      <c r="GD23" s="779"/>
      <c r="GE23" s="779"/>
      <c r="GF23" s="779"/>
      <c r="GG23" s="779"/>
      <c r="GH23" s="779"/>
      <c r="GI23" s="779"/>
      <c r="GJ23" s="779"/>
      <c r="GK23" s="779"/>
      <c r="GL23" s="779"/>
      <c r="GM23" s="779"/>
      <c r="GN23" s="779"/>
      <c r="GO23" s="779"/>
      <c r="GP23" s="779"/>
      <c r="GQ23" s="779"/>
      <c r="GR23" s="779"/>
      <c r="GS23" s="779"/>
      <c r="GT23" s="779"/>
      <c r="GU23" s="779"/>
      <c r="GV23" s="779"/>
      <c r="GW23" s="779"/>
      <c r="GX23" s="779"/>
      <c r="GY23" s="779"/>
      <c r="GZ23" s="779"/>
      <c r="HA23" s="779"/>
      <c r="HB23" s="779"/>
      <c r="HC23" s="779"/>
      <c r="HD23" s="779"/>
      <c r="HE23" s="779"/>
      <c r="HF23" s="779"/>
      <c r="HG23" s="779"/>
      <c r="HH23" s="779"/>
      <c r="HI23" s="779"/>
      <c r="HJ23" s="779"/>
      <c r="HK23" s="779"/>
      <c r="HL23" s="779"/>
      <c r="HM23" s="779"/>
      <c r="HN23" s="779"/>
      <c r="HO23" s="779"/>
      <c r="HP23" s="779"/>
      <c r="HQ23" s="779"/>
      <c r="HR23" s="779"/>
      <c r="HS23" s="779"/>
      <c r="HT23" s="779"/>
      <c r="HU23" s="779"/>
      <c r="HV23" s="779"/>
      <c r="HW23" s="779"/>
      <c r="HX23" s="779"/>
      <c r="HY23" s="779"/>
      <c r="HZ23" s="779"/>
      <c r="IA23" s="779"/>
      <c r="IB23" s="779"/>
      <c r="IC23" s="779"/>
      <c r="ID23" s="779"/>
      <c r="IE23" s="779"/>
      <c r="IF23" s="779"/>
      <c r="IG23" s="779"/>
      <c r="IH23" s="779"/>
      <c r="II23" s="779"/>
      <c r="IJ23" s="779"/>
      <c r="IK23" s="779"/>
      <c r="IL23" s="779"/>
      <c r="IM23" s="779"/>
      <c r="IN23" s="779"/>
      <c r="IO23" s="779"/>
      <c r="IP23" s="779"/>
      <c r="IQ23" s="779"/>
      <c r="IR23" s="779"/>
      <c r="IS23" s="779"/>
      <c r="IT23" s="779"/>
      <c r="IU23" s="779"/>
      <c r="IV23" s="779"/>
    </row>
    <row r="24" spans="1:256" ht="20.25" customHeight="1">
      <c r="A24" s="1241" t="s">
        <v>1047</v>
      </c>
      <c r="B24" s="1248"/>
      <c r="C24" s="1249"/>
      <c r="D24" s="1250"/>
      <c r="E24" s="1251"/>
      <c r="F24" s="1252"/>
      <c r="G24" s="1204">
        <f>SUM(G25:G31)</f>
        <v>16604400</v>
      </c>
    </row>
    <row r="25" spans="1:256" s="782" customFormat="1" ht="20.25" customHeight="1">
      <c r="A25" s="1253" t="s">
        <v>1544</v>
      </c>
      <c r="B25" s="1246" t="s">
        <v>1015</v>
      </c>
      <c r="C25" s="1202">
        <v>483100</v>
      </c>
      <c r="D25" s="1243">
        <v>20</v>
      </c>
      <c r="E25" s="1202">
        <f t="shared" ref="E25:E31" si="2">C25*D25%</f>
        <v>96620</v>
      </c>
      <c r="F25" s="1208">
        <v>12</v>
      </c>
      <c r="G25" s="1202">
        <f t="shared" ref="G25:G31" si="3">E25*F25</f>
        <v>1159440</v>
      </c>
      <c r="M25" s="779"/>
      <c r="N25" s="779"/>
      <c r="O25" s="779"/>
      <c r="P25" s="779"/>
      <c r="Q25" s="779"/>
      <c r="R25" s="779"/>
      <c r="S25" s="779"/>
      <c r="T25" s="779"/>
      <c r="U25" s="779"/>
      <c r="V25" s="779"/>
      <c r="W25" s="779"/>
      <c r="X25" s="779"/>
      <c r="Y25" s="779"/>
      <c r="Z25" s="779"/>
      <c r="AA25" s="779"/>
      <c r="AB25" s="779"/>
      <c r="AC25" s="779"/>
      <c r="AD25" s="779"/>
      <c r="AE25" s="779"/>
      <c r="AF25" s="779"/>
      <c r="AG25" s="779"/>
      <c r="AH25" s="779"/>
      <c r="AI25" s="779"/>
      <c r="AJ25" s="779"/>
      <c r="AK25" s="779"/>
      <c r="AL25" s="779"/>
      <c r="AM25" s="779"/>
      <c r="AN25" s="779"/>
      <c r="AO25" s="779"/>
      <c r="AP25" s="779"/>
      <c r="AQ25" s="779"/>
      <c r="AR25" s="779"/>
      <c r="AS25" s="779"/>
      <c r="AT25" s="779"/>
      <c r="AU25" s="779"/>
      <c r="AV25" s="779"/>
      <c r="AW25" s="779"/>
      <c r="AX25" s="779"/>
      <c r="AY25" s="779"/>
      <c r="AZ25" s="779"/>
      <c r="BA25" s="779"/>
      <c r="BB25" s="779"/>
      <c r="BC25" s="779"/>
      <c r="BD25" s="779"/>
      <c r="BE25" s="779"/>
      <c r="BF25" s="779"/>
      <c r="BG25" s="779"/>
      <c r="BH25" s="779"/>
      <c r="BI25" s="779"/>
      <c r="BJ25" s="779"/>
      <c r="BK25" s="779"/>
      <c r="BL25" s="779"/>
      <c r="BM25" s="779"/>
      <c r="BN25" s="779"/>
      <c r="BO25" s="779"/>
      <c r="BP25" s="779"/>
      <c r="BQ25" s="779"/>
      <c r="BR25" s="779"/>
      <c r="BS25" s="779"/>
      <c r="BT25" s="779"/>
      <c r="BU25" s="779"/>
      <c r="BV25" s="779"/>
      <c r="BW25" s="779"/>
      <c r="BX25" s="779"/>
      <c r="BY25" s="779"/>
      <c r="BZ25" s="779"/>
      <c r="CA25" s="779"/>
      <c r="CB25" s="779"/>
      <c r="CC25" s="779"/>
      <c r="CD25" s="779"/>
      <c r="CE25" s="779"/>
      <c r="CF25" s="779"/>
      <c r="CG25" s="779"/>
      <c r="CH25" s="779"/>
      <c r="CI25" s="779"/>
      <c r="CJ25" s="779"/>
      <c r="CK25" s="779"/>
      <c r="CL25" s="779"/>
      <c r="CM25" s="779"/>
      <c r="CN25" s="779"/>
      <c r="CO25" s="779"/>
      <c r="CP25" s="779"/>
      <c r="CQ25" s="779"/>
      <c r="CR25" s="779"/>
      <c r="CS25" s="779"/>
      <c r="CT25" s="779"/>
      <c r="CU25" s="779"/>
      <c r="CV25" s="779"/>
      <c r="CW25" s="779"/>
      <c r="CX25" s="779"/>
      <c r="CY25" s="779"/>
      <c r="CZ25" s="779"/>
      <c r="DA25" s="779"/>
      <c r="DB25" s="779"/>
      <c r="DC25" s="779"/>
      <c r="DD25" s="779"/>
      <c r="DE25" s="779"/>
      <c r="DF25" s="779"/>
      <c r="DG25" s="779"/>
      <c r="DH25" s="779"/>
      <c r="DI25" s="779"/>
      <c r="DJ25" s="779"/>
      <c r="DK25" s="779"/>
      <c r="DL25" s="779"/>
      <c r="DM25" s="779"/>
      <c r="DN25" s="779"/>
      <c r="DO25" s="779"/>
      <c r="DP25" s="779"/>
      <c r="DQ25" s="779"/>
      <c r="DR25" s="779"/>
      <c r="DS25" s="779"/>
      <c r="DT25" s="779"/>
      <c r="DU25" s="779"/>
      <c r="DV25" s="779"/>
      <c r="DW25" s="779"/>
      <c r="DX25" s="779"/>
      <c r="DY25" s="779"/>
      <c r="DZ25" s="779"/>
      <c r="EA25" s="779"/>
      <c r="EB25" s="779"/>
      <c r="EC25" s="779"/>
      <c r="ED25" s="779"/>
      <c r="EE25" s="779"/>
      <c r="EF25" s="779"/>
      <c r="EG25" s="779"/>
      <c r="EH25" s="779"/>
      <c r="EI25" s="779"/>
      <c r="EJ25" s="779"/>
      <c r="EK25" s="779"/>
      <c r="EL25" s="779"/>
      <c r="EM25" s="779"/>
      <c r="EN25" s="779"/>
      <c r="EO25" s="779"/>
      <c r="EP25" s="779"/>
      <c r="EQ25" s="779"/>
      <c r="ER25" s="779"/>
      <c r="ES25" s="779"/>
      <c r="ET25" s="779"/>
      <c r="EU25" s="779"/>
      <c r="EV25" s="779"/>
      <c r="EW25" s="779"/>
      <c r="EX25" s="779"/>
      <c r="EY25" s="779"/>
      <c r="EZ25" s="779"/>
      <c r="FA25" s="779"/>
      <c r="FB25" s="779"/>
      <c r="FC25" s="779"/>
      <c r="FD25" s="779"/>
      <c r="FE25" s="779"/>
      <c r="FF25" s="779"/>
      <c r="FG25" s="779"/>
      <c r="FH25" s="779"/>
      <c r="FI25" s="779"/>
      <c r="FJ25" s="779"/>
      <c r="FK25" s="779"/>
      <c r="FL25" s="779"/>
      <c r="FM25" s="779"/>
      <c r="FN25" s="779"/>
      <c r="FO25" s="779"/>
      <c r="FP25" s="779"/>
      <c r="FQ25" s="779"/>
      <c r="FR25" s="779"/>
      <c r="FS25" s="779"/>
      <c r="FT25" s="779"/>
      <c r="FU25" s="779"/>
      <c r="FV25" s="779"/>
      <c r="FW25" s="779"/>
      <c r="FX25" s="779"/>
      <c r="FY25" s="779"/>
      <c r="FZ25" s="779"/>
      <c r="GA25" s="779"/>
      <c r="GB25" s="779"/>
      <c r="GC25" s="779"/>
      <c r="GD25" s="779"/>
      <c r="GE25" s="779"/>
      <c r="GF25" s="779"/>
      <c r="GG25" s="779"/>
      <c r="GH25" s="779"/>
      <c r="GI25" s="779"/>
      <c r="GJ25" s="779"/>
      <c r="GK25" s="779"/>
      <c r="GL25" s="779"/>
      <c r="GM25" s="779"/>
      <c r="GN25" s="779"/>
      <c r="GO25" s="779"/>
      <c r="GP25" s="779"/>
      <c r="GQ25" s="779"/>
      <c r="GR25" s="779"/>
      <c r="GS25" s="779"/>
      <c r="GT25" s="779"/>
      <c r="GU25" s="779"/>
      <c r="GV25" s="779"/>
      <c r="GW25" s="779"/>
      <c r="GX25" s="779"/>
      <c r="GY25" s="779"/>
      <c r="GZ25" s="779"/>
      <c r="HA25" s="779"/>
      <c r="HB25" s="779"/>
      <c r="HC25" s="779"/>
      <c r="HD25" s="779"/>
      <c r="HE25" s="779"/>
      <c r="HF25" s="779"/>
      <c r="HG25" s="779"/>
      <c r="HH25" s="779"/>
      <c r="HI25" s="779"/>
      <c r="HJ25" s="779"/>
      <c r="HK25" s="779"/>
      <c r="HL25" s="779"/>
      <c r="HM25" s="779"/>
      <c r="HN25" s="779"/>
      <c r="HO25" s="779"/>
      <c r="HP25" s="779"/>
      <c r="HQ25" s="779"/>
      <c r="HR25" s="779"/>
      <c r="HS25" s="779"/>
      <c r="HT25" s="779"/>
      <c r="HU25" s="779"/>
      <c r="HV25" s="779"/>
      <c r="HW25" s="779"/>
      <c r="HX25" s="779"/>
      <c r="HY25" s="779"/>
      <c r="HZ25" s="779"/>
      <c r="IA25" s="779"/>
      <c r="IB25" s="779"/>
      <c r="IC25" s="779"/>
      <c r="ID25" s="779"/>
      <c r="IE25" s="779"/>
      <c r="IF25" s="779"/>
      <c r="IG25" s="779"/>
      <c r="IH25" s="779"/>
      <c r="II25" s="779"/>
      <c r="IJ25" s="779"/>
      <c r="IK25" s="779"/>
      <c r="IL25" s="779"/>
      <c r="IM25" s="779"/>
      <c r="IN25" s="779"/>
      <c r="IO25" s="779"/>
      <c r="IP25" s="779"/>
      <c r="IQ25" s="779"/>
      <c r="IR25" s="779"/>
      <c r="IS25" s="779"/>
      <c r="IT25" s="779"/>
      <c r="IU25" s="779"/>
      <c r="IV25" s="779"/>
    </row>
    <row r="26" spans="1:256" s="782" customFormat="1" ht="20.25" customHeight="1">
      <c r="A26" s="1253" t="s">
        <v>1642</v>
      </c>
      <c r="B26" s="1246" t="s">
        <v>1014</v>
      </c>
      <c r="C26" s="1254">
        <v>497200</v>
      </c>
      <c r="D26" s="1243">
        <v>55</v>
      </c>
      <c r="E26" s="1202">
        <f t="shared" si="2"/>
        <v>273460</v>
      </c>
      <c r="F26" s="1208">
        <v>12</v>
      </c>
      <c r="G26" s="1202">
        <f t="shared" si="3"/>
        <v>3281520</v>
      </c>
      <c r="M26" s="779"/>
      <c r="N26" s="779"/>
      <c r="O26" s="779"/>
      <c r="P26" s="779"/>
      <c r="Q26" s="779"/>
      <c r="R26" s="779"/>
      <c r="S26" s="779"/>
      <c r="T26" s="779"/>
      <c r="U26" s="779"/>
      <c r="V26" s="779"/>
      <c r="W26" s="779"/>
      <c r="X26" s="779"/>
      <c r="Y26" s="779"/>
      <c r="Z26" s="779"/>
      <c r="AA26" s="779"/>
      <c r="AB26" s="779"/>
      <c r="AC26" s="779"/>
      <c r="AD26" s="779"/>
      <c r="AE26" s="779"/>
      <c r="AF26" s="779"/>
      <c r="AG26" s="779"/>
      <c r="AH26" s="779"/>
      <c r="AI26" s="779"/>
      <c r="AJ26" s="779"/>
      <c r="AK26" s="779"/>
      <c r="AL26" s="779"/>
      <c r="AM26" s="779"/>
      <c r="AN26" s="779"/>
      <c r="AO26" s="779"/>
      <c r="AP26" s="779"/>
      <c r="AQ26" s="779"/>
      <c r="AR26" s="779"/>
      <c r="AS26" s="779"/>
      <c r="AT26" s="779"/>
      <c r="AU26" s="779"/>
      <c r="AV26" s="779"/>
      <c r="AW26" s="779"/>
      <c r="AX26" s="779"/>
      <c r="AY26" s="779"/>
      <c r="AZ26" s="779"/>
      <c r="BA26" s="779"/>
      <c r="BB26" s="779"/>
      <c r="BC26" s="779"/>
      <c r="BD26" s="779"/>
      <c r="BE26" s="779"/>
      <c r="BF26" s="779"/>
      <c r="BG26" s="779"/>
      <c r="BH26" s="779"/>
      <c r="BI26" s="779"/>
      <c r="BJ26" s="779"/>
      <c r="BK26" s="779"/>
      <c r="BL26" s="779"/>
      <c r="BM26" s="779"/>
      <c r="BN26" s="779"/>
      <c r="BO26" s="779"/>
      <c r="BP26" s="779"/>
      <c r="BQ26" s="779"/>
      <c r="BR26" s="779"/>
      <c r="BS26" s="779"/>
      <c r="BT26" s="779"/>
      <c r="BU26" s="779"/>
      <c r="BV26" s="779"/>
      <c r="BW26" s="779"/>
      <c r="BX26" s="779"/>
      <c r="BY26" s="779"/>
      <c r="BZ26" s="779"/>
      <c r="CA26" s="779"/>
      <c r="CB26" s="779"/>
      <c r="CC26" s="779"/>
      <c r="CD26" s="779"/>
      <c r="CE26" s="779"/>
      <c r="CF26" s="779"/>
      <c r="CG26" s="779"/>
      <c r="CH26" s="779"/>
      <c r="CI26" s="779"/>
      <c r="CJ26" s="779"/>
      <c r="CK26" s="779"/>
      <c r="CL26" s="779"/>
      <c r="CM26" s="779"/>
      <c r="CN26" s="779"/>
      <c r="CO26" s="779"/>
      <c r="CP26" s="779"/>
      <c r="CQ26" s="779"/>
      <c r="CR26" s="779"/>
      <c r="CS26" s="779"/>
      <c r="CT26" s="779"/>
      <c r="CU26" s="779"/>
      <c r="CV26" s="779"/>
      <c r="CW26" s="779"/>
      <c r="CX26" s="779"/>
      <c r="CY26" s="779"/>
      <c r="CZ26" s="779"/>
      <c r="DA26" s="779"/>
      <c r="DB26" s="779"/>
      <c r="DC26" s="779"/>
      <c r="DD26" s="779"/>
      <c r="DE26" s="779"/>
      <c r="DF26" s="779"/>
      <c r="DG26" s="779"/>
      <c r="DH26" s="779"/>
      <c r="DI26" s="779"/>
      <c r="DJ26" s="779"/>
      <c r="DK26" s="779"/>
      <c r="DL26" s="779"/>
      <c r="DM26" s="779"/>
      <c r="DN26" s="779"/>
      <c r="DO26" s="779"/>
      <c r="DP26" s="779"/>
      <c r="DQ26" s="779"/>
      <c r="DR26" s="779"/>
      <c r="DS26" s="779"/>
      <c r="DT26" s="779"/>
      <c r="DU26" s="779"/>
      <c r="DV26" s="779"/>
      <c r="DW26" s="779"/>
      <c r="DX26" s="779"/>
      <c r="DY26" s="779"/>
      <c r="DZ26" s="779"/>
      <c r="EA26" s="779"/>
      <c r="EB26" s="779"/>
      <c r="EC26" s="779"/>
      <c r="ED26" s="779"/>
      <c r="EE26" s="779"/>
      <c r="EF26" s="779"/>
      <c r="EG26" s="779"/>
      <c r="EH26" s="779"/>
      <c r="EI26" s="779"/>
      <c r="EJ26" s="779"/>
      <c r="EK26" s="779"/>
      <c r="EL26" s="779"/>
      <c r="EM26" s="779"/>
      <c r="EN26" s="779"/>
      <c r="EO26" s="779"/>
      <c r="EP26" s="779"/>
      <c r="EQ26" s="779"/>
      <c r="ER26" s="779"/>
      <c r="ES26" s="779"/>
      <c r="ET26" s="779"/>
      <c r="EU26" s="779"/>
      <c r="EV26" s="779"/>
      <c r="EW26" s="779"/>
      <c r="EX26" s="779"/>
      <c r="EY26" s="779"/>
      <c r="EZ26" s="779"/>
      <c r="FA26" s="779"/>
      <c r="FB26" s="779"/>
      <c r="FC26" s="779"/>
      <c r="FD26" s="779"/>
      <c r="FE26" s="779"/>
      <c r="FF26" s="779"/>
      <c r="FG26" s="779"/>
      <c r="FH26" s="779"/>
      <c r="FI26" s="779"/>
      <c r="FJ26" s="779"/>
      <c r="FK26" s="779"/>
      <c r="FL26" s="779"/>
      <c r="FM26" s="779"/>
      <c r="FN26" s="779"/>
      <c r="FO26" s="779"/>
      <c r="FP26" s="779"/>
      <c r="FQ26" s="779"/>
      <c r="FR26" s="779"/>
      <c r="FS26" s="779"/>
      <c r="FT26" s="779"/>
      <c r="FU26" s="779"/>
      <c r="FV26" s="779"/>
      <c r="FW26" s="779"/>
      <c r="FX26" s="779"/>
      <c r="FY26" s="779"/>
      <c r="FZ26" s="779"/>
      <c r="GA26" s="779"/>
      <c r="GB26" s="779"/>
      <c r="GC26" s="779"/>
      <c r="GD26" s="779"/>
      <c r="GE26" s="779"/>
      <c r="GF26" s="779"/>
      <c r="GG26" s="779"/>
      <c r="GH26" s="779"/>
      <c r="GI26" s="779"/>
      <c r="GJ26" s="779"/>
      <c r="GK26" s="779"/>
      <c r="GL26" s="779"/>
      <c r="GM26" s="779"/>
      <c r="GN26" s="779"/>
      <c r="GO26" s="779"/>
      <c r="GP26" s="779"/>
      <c r="GQ26" s="779"/>
      <c r="GR26" s="779"/>
      <c r="GS26" s="779"/>
      <c r="GT26" s="779"/>
      <c r="GU26" s="779"/>
      <c r="GV26" s="779"/>
      <c r="GW26" s="779"/>
      <c r="GX26" s="779"/>
      <c r="GY26" s="779"/>
      <c r="GZ26" s="779"/>
      <c r="HA26" s="779"/>
      <c r="HB26" s="779"/>
      <c r="HC26" s="779"/>
      <c r="HD26" s="779"/>
      <c r="HE26" s="779"/>
      <c r="HF26" s="779"/>
      <c r="HG26" s="779"/>
      <c r="HH26" s="779"/>
      <c r="HI26" s="779"/>
      <c r="HJ26" s="779"/>
      <c r="HK26" s="779"/>
      <c r="HL26" s="779"/>
      <c r="HM26" s="779"/>
      <c r="HN26" s="779"/>
      <c r="HO26" s="779"/>
      <c r="HP26" s="779"/>
      <c r="HQ26" s="779"/>
      <c r="HR26" s="779"/>
      <c r="HS26" s="779"/>
      <c r="HT26" s="779"/>
      <c r="HU26" s="779"/>
      <c r="HV26" s="779"/>
      <c r="HW26" s="779"/>
      <c r="HX26" s="779"/>
      <c r="HY26" s="779"/>
      <c r="HZ26" s="779"/>
      <c r="IA26" s="779"/>
      <c r="IB26" s="779"/>
      <c r="IC26" s="779"/>
      <c r="ID26" s="779"/>
      <c r="IE26" s="779"/>
      <c r="IF26" s="779"/>
      <c r="IG26" s="779"/>
      <c r="IH26" s="779"/>
      <c r="II26" s="779"/>
      <c r="IJ26" s="779"/>
      <c r="IK26" s="779"/>
      <c r="IL26" s="779"/>
      <c r="IM26" s="779"/>
      <c r="IN26" s="779"/>
      <c r="IO26" s="779"/>
      <c r="IP26" s="779"/>
      <c r="IQ26" s="779"/>
      <c r="IR26" s="779"/>
      <c r="IS26" s="779"/>
      <c r="IT26" s="779"/>
      <c r="IU26" s="779"/>
      <c r="IV26" s="779"/>
    </row>
    <row r="27" spans="1:256" s="782" customFormat="1" ht="20.25" customHeight="1">
      <c r="A27" s="1246" t="s">
        <v>1545</v>
      </c>
      <c r="B27" s="1246" t="s">
        <v>1014</v>
      </c>
      <c r="C27" s="1254">
        <v>497200</v>
      </c>
      <c r="D27" s="1243">
        <v>55</v>
      </c>
      <c r="E27" s="1202">
        <f t="shared" si="2"/>
        <v>273460</v>
      </c>
      <c r="F27" s="1208">
        <v>12</v>
      </c>
      <c r="G27" s="1202">
        <f t="shared" si="3"/>
        <v>3281520</v>
      </c>
      <c r="M27" s="779"/>
      <c r="N27" s="779"/>
      <c r="O27" s="779"/>
      <c r="P27" s="779"/>
      <c r="Q27" s="779"/>
      <c r="R27" s="779"/>
      <c r="S27" s="779"/>
      <c r="T27" s="779"/>
      <c r="U27" s="779"/>
      <c r="V27" s="779"/>
      <c r="W27" s="779"/>
      <c r="X27" s="779"/>
      <c r="Y27" s="779"/>
      <c r="Z27" s="779"/>
      <c r="AA27" s="779"/>
      <c r="AB27" s="779"/>
      <c r="AC27" s="779"/>
      <c r="AD27" s="779"/>
      <c r="AE27" s="779"/>
      <c r="AF27" s="779"/>
      <c r="AG27" s="779"/>
      <c r="AH27" s="779"/>
      <c r="AI27" s="779"/>
      <c r="AJ27" s="779"/>
      <c r="AK27" s="779"/>
      <c r="AL27" s="779"/>
      <c r="AM27" s="779"/>
      <c r="AN27" s="779"/>
      <c r="AO27" s="779"/>
      <c r="AP27" s="779"/>
      <c r="AQ27" s="779"/>
      <c r="AR27" s="779"/>
      <c r="AS27" s="779"/>
      <c r="AT27" s="779"/>
      <c r="AU27" s="779"/>
      <c r="AV27" s="779"/>
      <c r="AW27" s="779"/>
      <c r="AX27" s="779"/>
      <c r="AY27" s="779"/>
      <c r="AZ27" s="779"/>
      <c r="BA27" s="779"/>
      <c r="BB27" s="779"/>
      <c r="BC27" s="779"/>
      <c r="BD27" s="779"/>
      <c r="BE27" s="779"/>
      <c r="BF27" s="779"/>
      <c r="BG27" s="779"/>
      <c r="BH27" s="779"/>
      <c r="BI27" s="779"/>
      <c r="BJ27" s="779"/>
      <c r="BK27" s="779"/>
      <c r="BL27" s="779"/>
      <c r="BM27" s="779"/>
      <c r="BN27" s="779"/>
      <c r="BO27" s="779"/>
      <c r="BP27" s="779"/>
      <c r="BQ27" s="779"/>
      <c r="BR27" s="779"/>
      <c r="BS27" s="779"/>
      <c r="BT27" s="779"/>
      <c r="BU27" s="779"/>
      <c r="BV27" s="779"/>
      <c r="BW27" s="779"/>
      <c r="BX27" s="779"/>
      <c r="BY27" s="779"/>
      <c r="BZ27" s="779"/>
      <c r="CA27" s="779"/>
      <c r="CB27" s="779"/>
      <c r="CC27" s="779"/>
      <c r="CD27" s="779"/>
      <c r="CE27" s="779"/>
      <c r="CF27" s="779"/>
      <c r="CG27" s="779"/>
      <c r="CH27" s="779"/>
      <c r="CI27" s="779"/>
      <c r="CJ27" s="779"/>
      <c r="CK27" s="779"/>
      <c r="CL27" s="779"/>
      <c r="CM27" s="779"/>
      <c r="CN27" s="779"/>
      <c r="CO27" s="779"/>
      <c r="CP27" s="779"/>
      <c r="CQ27" s="779"/>
      <c r="CR27" s="779"/>
      <c r="CS27" s="779"/>
      <c r="CT27" s="779"/>
      <c r="CU27" s="779"/>
      <c r="CV27" s="779"/>
      <c r="CW27" s="779"/>
      <c r="CX27" s="779"/>
      <c r="CY27" s="779"/>
      <c r="CZ27" s="779"/>
      <c r="DA27" s="779"/>
      <c r="DB27" s="779"/>
      <c r="DC27" s="779"/>
      <c r="DD27" s="779"/>
      <c r="DE27" s="779"/>
      <c r="DF27" s="779"/>
      <c r="DG27" s="779"/>
      <c r="DH27" s="779"/>
      <c r="DI27" s="779"/>
      <c r="DJ27" s="779"/>
      <c r="DK27" s="779"/>
      <c r="DL27" s="779"/>
      <c r="DM27" s="779"/>
      <c r="DN27" s="779"/>
      <c r="DO27" s="779"/>
      <c r="DP27" s="779"/>
      <c r="DQ27" s="779"/>
      <c r="DR27" s="779"/>
      <c r="DS27" s="779"/>
      <c r="DT27" s="779"/>
      <c r="DU27" s="779"/>
      <c r="DV27" s="779"/>
      <c r="DW27" s="779"/>
      <c r="DX27" s="779"/>
      <c r="DY27" s="779"/>
      <c r="DZ27" s="779"/>
      <c r="EA27" s="779"/>
      <c r="EB27" s="779"/>
      <c r="EC27" s="779"/>
      <c r="ED27" s="779"/>
      <c r="EE27" s="779"/>
      <c r="EF27" s="779"/>
      <c r="EG27" s="779"/>
      <c r="EH27" s="779"/>
      <c r="EI27" s="779"/>
      <c r="EJ27" s="779"/>
      <c r="EK27" s="779"/>
      <c r="EL27" s="779"/>
      <c r="EM27" s="779"/>
      <c r="EN27" s="779"/>
      <c r="EO27" s="779"/>
      <c r="EP27" s="779"/>
      <c r="EQ27" s="779"/>
      <c r="ER27" s="779"/>
      <c r="ES27" s="779"/>
      <c r="ET27" s="779"/>
      <c r="EU27" s="779"/>
      <c r="EV27" s="779"/>
      <c r="EW27" s="779"/>
      <c r="EX27" s="779"/>
      <c r="EY27" s="779"/>
      <c r="EZ27" s="779"/>
      <c r="FA27" s="779"/>
      <c r="FB27" s="779"/>
      <c r="FC27" s="779"/>
      <c r="FD27" s="779"/>
      <c r="FE27" s="779"/>
      <c r="FF27" s="779"/>
      <c r="FG27" s="779"/>
      <c r="FH27" s="779"/>
      <c r="FI27" s="779"/>
      <c r="FJ27" s="779"/>
      <c r="FK27" s="779"/>
      <c r="FL27" s="779"/>
      <c r="FM27" s="779"/>
      <c r="FN27" s="779"/>
      <c r="FO27" s="779"/>
      <c r="FP27" s="779"/>
      <c r="FQ27" s="779"/>
      <c r="FR27" s="779"/>
      <c r="FS27" s="779"/>
      <c r="FT27" s="779"/>
      <c r="FU27" s="779"/>
      <c r="FV27" s="779"/>
      <c r="FW27" s="779"/>
      <c r="FX27" s="779"/>
      <c r="FY27" s="779"/>
      <c r="FZ27" s="779"/>
      <c r="GA27" s="779"/>
      <c r="GB27" s="779"/>
      <c r="GC27" s="779"/>
      <c r="GD27" s="779"/>
      <c r="GE27" s="779"/>
      <c r="GF27" s="779"/>
      <c r="GG27" s="779"/>
      <c r="GH27" s="779"/>
      <c r="GI27" s="779"/>
      <c r="GJ27" s="779"/>
      <c r="GK27" s="779"/>
      <c r="GL27" s="779"/>
      <c r="GM27" s="779"/>
      <c r="GN27" s="779"/>
      <c r="GO27" s="779"/>
      <c r="GP27" s="779"/>
      <c r="GQ27" s="779"/>
      <c r="GR27" s="779"/>
      <c r="GS27" s="779"/>
      <c r="GT27" s="779"/>
      <c r="GU27" s="779"/>
      <c r="GV27" s="779"/>
      <c r="GW27" s="779"/>
      <c r="GX27" s="779"/>
      <c r="GY27" s="779"/>
      <c r="GZ27" s="779"/>
      <c r="HA27" s="779"/>
      <c r="HB27" s="779"/>
      <c r="HC27" s="779"/>
      <c r="HD27" s="779"/>
      <c r="HE27" s="779"/>
      <c r="HF27" s="779"/>
      <c r="HG27" s="779"/>
      <c r="HH27" s="779"/>
      <c r="HI27" s="779"/>
      <c r="HJ27" s="779"/>
      <c r="HK27" s="779"/>
      <c r="HL27" s="779"/>
      <c r="HM27" s="779"/>
      <c r="HN27" s="779"/>
      <c r="HO27" s="779"/>
      <c r="HP27" s="779"/>
      <c r="HQ27" s="779"/>
      <c r="HR27" s="779"/>
      <c r="HS27" s="779"/>
      <c r="HT27" s="779"/>
      <c r="HU27" s="779"/>
      <c r="HV27" s="779"/>
      <c r="HW27" s="779"/>
      <c r="HX27" s="779"/>
      <c r="HY27" s="779"/>
      <c r="HZ27" s="779"/>
      <c r="IA27" s="779"/>
      <c r="IB27" s="779"/>
      <c r="IC27" s="779"/>
      <c r="ID27" s="779"/>
      <c r="IE27" s="779"/>
      <c r="IF27" s="779"/>
      <c r="IG27" s="779"/>
      <c r="IH27" s="779"/>
      <c r="II27" s="779"/>
      <c r="IJ27" s="779"/>
      <c r="IK27" s="779"/>
      <c r="IL27" s="779"/>
      <c r="IM27" s="779"/>
      <c r="IN27" s="779"/>
      <c r="IO27" s="779"/>
      <c r="IP27" s="779"/>
      <c r="IQ27" s="779"/>
      <c r="IR27" s="779"/>
      <c r="IS27" s="779"/>
      <c r="IT27" s="779"/>
      <c r="IU27" s="779"/>
      <c r="IV27" s="779"/>
    </row>
    <row r="28" spans="1:256" s="782" customFormat="1" ht="20.25" customHeight="1">
      <c r="A28" s="1246" t="s">
        <v>1546</v>
      </c>
      <c r="B28" s="1246" t="s">
        <v>1046</v>
      </c>
      <c r="C28" s="1202">
        <v>483100</v>
      </c>
      <c r="D28" s="1243">
        <v>20</v>
      </c>
      <c r="E28" s="1202">
        <f t="shared" si="2"/>
        <v>96620</v>
      </c>
      <c r="F28" s="1208">
        <v>12</v>
      </c>
      <c r="G28" s="1202">
        <f t="shared" si="3"/>
        <v>1159440</v>
      </c>
      <c r="M28" s="779"/>
      <c r="N28" s="779"/>
      <c r="O28" s="779"/>
      <c r="P28" s="779"/>
      <c r="Q28" s="779"/>
      <c r="R28" s="779"/>
      <c r="S28" s="779"/>
      <c r="T28" s="779"/>
      <c r="U28" s="779"/>
      <c r="V28" s="779"/>
      <c r="W28" s="779"/>
      <c r="X28" s="779"/>
      <c r="Y28" s="779"/>
      <c r="Z28" s="779"/>
      <c r="AA28" s="779"/>
      <c r="AB28" s="779"/>
      <c r="AC28" s="779"/>
      <c r="AD28" s="779"/>
      <c r="AE28" s="779"/>
      <c r="AF28" s="779"/>
      <c r="AG28" s="779"/>
      <c r="AH28" s="779"/>
      <c r="AI28" s="779"/>
      <c r="AJ28" s="779"/>
      <c r="AK28" s="779"/>
      <c r="AL28" s="779"/>
      <c r="AM28" s="779"/>
      <c r="AN28" s="779"/>
      <c r="AO28" s="779"/>
      <c r="AP28" s="779"/>
      <c r="AQ28" s="779"/>
      <c r="AR28" s="779"/>
      <c r="AS28" s="779"/>
      <c r="AT28" s="779"/>
      <c r="AU28" s="779"/>
      <c r="AV28" s="779"/>
      <c r="AW28" s="779"/>
      <c r="AX28" s="779"/>
      <c r="AY28" s="779"/>
      <c r="AZ28" s="779"/>
      <c r="BA28" s="779"/>
      <c r="BB28" s="779"/>
      <c r="BC28" s="779"/>
      <c r="BD28" s="779"/>
      <c r="BE28" s="779"/>
      <c r="BF28" s="779"/>
      <c r="BG28" s="779"/>
      <c r="BH28" s="779"/>
      <c r="BI28" s="779"/>
      <c r="BJ28" s="779"/>
      <c r="BK28" s="779"/>
      <c r="BL28" s="779"/>
      <c r="BM28" s="779"/>
      <c r="BN28" s="779"/>
      <c r="BO28" s="779"/>
      <c r="BP28" s="779"/>
      <c r="BQ28" s="779"/>
      <c r="BR28" s="779"/>
      <c r="BS28" s="779"/>
      <c r="BT28" s="779"/>
      <c r="BU28" s="779"/>
      <c r="BV28" s="779"/>
      <c r="BW28" s="779"/>
      <c r="BX28" s="779"/>
      <c r="BY28" s="779"/>
      <c r="BZ28" s="779"/>
      <c r="CA28" s="779"/>
      <c r="CB28" s="779"/>
      <c r="CC28" s="779"/>
      <c r="CD28" s="779"/>
      <c r="CE28" s="779"/>
      <c r="CF28" s="779"/>
      <c r="CG28" s="779"/>
      <c r="CH28" s="779"/>
      <c r="CI28" s="779"/>
      <c r="CJ28" s="779"/>
      <c r="CK28" s="779"/>
      <c r="CL28" s="779"/>
      <c r="CM28" s="779"/>
      <c r="CN28" s="779"/>
      <c r="CO28" s="779"/>
      <c r="CP28" s="779"/>
      <c r="CQ28" s="779"/>
      <c r="CR28" s="779"/>
      <c r="CS28" s="779"/>
      <c r="CT28" s="779"/>
      <c r="CU28" s="779"/>
      <c r="CV28" s="779"/>
      <c r="CW28" s="779"/>
      <c r="CX28" s="779"/>
      <c r="CY28" s="779"/>
      <c r="CZ28" s="779"/>
      <c r="DA28" s="779"/>
      <c r="DB28" s="779"/>
      <c r="DC28" s="779"/>
      <c r="DD28" s="779"/>
      <c r="DE28" s="779"/>
      <c r="DF28" s="779"/>
      <c r="DG28" s="779"/>
      <c r="DH28" s="779"/>
      <c r="DI28" s="779"/>
      <c r="DJ28" s="779"/>
      <c r="DK28" s="779"/>
      <c r="DL28" s="779"/>
      <c r="DM28" s="779"/>
      <c r="DN28" s="779"/>
      <c r="DO28" s="779"/>
      <c r="DP28" s="779"/>
      <c r="DQ28" s="779"/>
      <c r="DR28" s="779"/>
      <c r="DS28" s="779"/>
      <c r="DT28" s="779"/>
      <c r="DU28" s="779"/>
      <c r="DV28" s="779"/>
      <c r="DW28" s="779"/>
      <c r="DX28" s="779"/>
      <c r="DY28" s="779"/>
      <c r="DZ28" s="779"/>
      <c r="EA28" s="779"/>
      <c r="EB28" s="779"/>
      <c r="EC28" s="779"/>
      <c r="ED28" s="779"/>
      <c r="EE28" s="779"/>
      <c r="EF28" s="779"/>
      <c r="EG28" s="779"/>
      <c r="EH28" s="779"/>
      <c r="EI28" s="779"/>
      <c r="EJ28" s="779"/>
      <c r="EK28" s="779"/>
      <c r="EL28" s="779"/>
      <c r="EM28" s="779"/>
      <c r="EN28" s="779"/>
      <c r="EO28" s="779"/>
      <c r="EP28" s="779"/>
      <c r="EQ28" s="779"/>
      <c r="ER28" s="779"/>
      <c r="ES28" s="779"/>
      <c r="ET28" s="779"/>
      <c r="EU28" s="779"/>
      <c r="EV28" s="779"/>
      <c r="EW28" s="779"/>
      <c r="EX28" s="779"/>
      <c r="EY28" s="779"/>
      <c r="EZ28" s="779"/>
      <c r="FA28" s="779"/>
      <c r="FB28" s="779"/>
      <c r="FC28" s="779"/>
      <c r="FD28" s="779"/>
      <c r="FE28" s="779"/>
      <c r="FF28" s="779"/>
      <c r="FG28" s="779"/>
      <c r="FH28" s="779"/>
      <c r="FI28" s="779"/>
      <c r="FJ28" s="779"/>
      <c r="FK28" s="779"/>
      <c r="FL28" s="779"/>
      <c r="FM28" s="779"/>
      <c r="FN28" s="779"/>
      <c r="FO28" s="779"/>
      <c r="FP28" s="779"/>
      <c r="FQ28" s="779"/>
      <c r="FR28" s="779"/>
      <c r="FS28" s="779"/>
      <c r="FT28" s="779"/>
      <c r="FU28" s="779"/>
      <c r="FV28" s="779"/>
      <c r="FW28" s="779"/>
      <c r="FX28" s="779"/>
      <c r="FY28" s="779"/>
      <c r="FZ28" s="779"/>
      <c r="GA28" s="779"/>
      <c r="GB28" s="779"/>
      <c r="GC28" s="779"/>
      <c r="GD28" s="779"/>
      <c r="GE28" s="779"/>
      <c r="GF28" s="779"/>
      <c r="GG28" s="779"/>
      <c r="GH28" s="779"/>
      <c r="GI28" s="779"/>
      <c r="GJ28" s="779"/>
      <c r="GK28" s="779"/>
      <c r="GL28" s="779"/>
      <c r="GM28" s="779"/>
      <c r="GN28" s="779"/>
      <c r="GO28" s="779"/>
      <c r="GP28" s="779"/>
      <c r="GQ28" s="779"/>
      <c r="GR28" s="779"/>
      <c r="GS28" s="779"/>
      <c r="GT28" s="779"/>
      <c r="GU28" s="779"/>
      <c r="GV28" s="779"/>
      <c r="GW28" s="779"/>
      <c r="GX28" s="779"/>
      <c r="GY28" s="779"/>
      <c r="GZ28" s="779"/>
      <c r="HA28" s="779"/>
      <c r="HB28" s="779"/>
      <c r="HC28" s="779"/>
      <c r="HD28" s="779"/>
      <c r="HE28" s="779"/>
      <c r="HF28" s="779"/>
      <c r="HG28" s="779"/>
      <c r="HH28" s="779"/>
      <c r="HI28" s="779"/>
      <c r="HJ28" s="779"/>
      <c r="HK28" s="779"/>
      <c r="HL28" s="779"/>
      <c r="HM28" s="779"/>
      <c r="HN28" s="779"/>
      <c r="HO28" s="779"/>
      <c r="HP28" s="779"/>
      <c r="HQ28" s="779"/>
      <c r="HR28" s="779"/>
      <c r="HS28" s="779"/>
      <c r="HT28" s="779"/>
      <c r="HU28" s="779"/>
      <c r="HV28" s="779"/>
      <c r="HW28" s="779"/>
      <c r="HX28" s="779"/>
      <c r="HY28" s="779"/>
      <c r="HZ28" s="779"/>
      <c r="IA28" s="779"/>
      <c r="IB28" s="779"/>
      <c r="IC28" s="779"/>
      <c r="ID28" s="779"/>
      <c r="IE28" s="779"/>
      <c r="IF28" s="779"/>
      <c r="IG28" s="779"/>
      <c r="IH28" s="779"/>
      <c r="II28" s="779"/>
      <c r="IJ28" s="779"/>
      <c r="IK28" s="779"/>
      <c r="IL28" s="779"/>
      <c r="IM28" s="779"/>
      <c r="IN28" s="779"/>
      <c r="IO28" s="779"/>
      <c r="IP28" s="779"/>
      <c r="IQ28" s="779"/>
      <c r="IR28" s="779"/>
      <c r="IS28" s="779"/>
      <c r="IT28" s="779"/>
      <c r="IU28" s="779"/>
      <c r="IV28" s="779"/>
    </row>
    <row r="29" spans="1:256" s="782" customFormat="1" ht="20.25" customHeight="1">
      <c r="A29" s="1253" t="s">
        <v>1547</v>
      </c>
      <c r="B29" s="1246" t="s">
        <v>1014</v>
      </c>
      <c r="C29" s="1202">
        <v>497200</v>
      </c>
      <c r="D29" s="1243">
        <v>55</v>
      </c>
      <c r="E29" s="1202">
        <f t="shared" si="2"/>
        <v>273460</v>
      </c>
      <c r="F29" s="1208">
        <v>12</v>
      </c>
      <c r="G29" s="1202">
        <f t="shared" si="3"/>
        <v>3281520</v>
      </c>
      <c r="M29" s="779"/>
      <c r="N29" s="779"/>
      <c r="O29" s="779"/>
      <c r="P29" s="779"/>
      <c r="Q29" s="779"/>
      <c r="R29" s="779"/>
      <c r="S29" s="779"/>
      <c r="T29" s="779"/>
      <c r="U29" s="779"/>
      <c r="V29" s="779"/>
      <c r="W29" s="779"/>
      <c r="X29" s="779"/>
      <c r="Y29" s="779"/>
      <c r="Z29" s="779"/>
      <c r="AA29" s="779"/>
      <c r="AB29" s="779"/>
      <c r="AC29" s="779"/>
      <c r="AD29" s="779"/>
      <c r="AE29" s="779"/>
      <c r="AF29" s="779"/>
      <c r="AG29" s="779"/>
      <c r="AH29" s="779"/>
      <c r="AI29" s="779"/>
      <c r="AJ29" s="779"/>
      <c r="AK29" s="779"/>
      <c r="AL29" s="779"/>
      <c r="AM29" s="779"/>
      <c r="AN29" s="779"/>
      <c r="AO29" s="779"/>
      <c r="AP29" s="779"/>
      <c r="AQ29" s="779"/>
      <c r="AR29" s="779"/>
      <c r="AS29" s="779"/>
      <c r="AT29" s="779"/>
      <c r="AU29" s="779"/>
      <c r="AV29" s="779"/>
      <c r="AW29" s="779"/>
      <c r="AX29" s="779"/>
      <c r="AY29" s="779"/>
      <c r="AZ29" s="779"/>
      <c r="BA29" s="779"/>
      <c r="BB29" s="779"/>
      <c r="BC29" s="779"/>
      <c r="BD29" s="779"/>
      <c r="BE29" s="779"/>
      <c r="BF29" s="779"/>
      <c r="BG29" s="779"/>
      <c r="BH29" s="779"/>
      <c r="BI29" s="779"/>
      <c r="BJ29" s="779"/>
      <c r="BK29" s="779"/>
      <c r="BL29" s="779"/>
      <c r="BM29" s="779"/>
      <c r="BN29" s="779"/>
      <c r="BO29" s="779"/>
      <c r="BP29" s="779"/>
      <c r="BQ29" s="779"/>
      <c r="BR29" s="779"/>
      <c r="BS29" s="779"/>
      <c r="BT29" s="779"/>
      <c r="BU29" s="779"/>
      <c r="BV29" s="779"/>
      <c r="BW29" s="779"/>
      <c r="BX29" s="779"/>
      <c r="BY29" s="779"/>
      <c r="BZ29" s="779"/>
      <c r="CA29" s="779"/>
      <c r="CB29" s="779"/>
      <c r="CC29" s="779"/>
      <c r="CD29" s="779"/>
      <c r="CE29" s="779"/>
      <c r="CF29" s="779"/>
      <c r="CG29" s="779"/>
      <c r="CH29" s="779"/>
      <c r="CI29" s="779"/>
      <c r="CJ29" s="779"/>
      <c r="CK29" s="779"/>
      <c r="CL29" s="779"/>
      <c r="CM29" s="779"/>
      <c r="CN29" s="779"/>
      <c r="CO29" s="779"/>
      <c r="CP29" s="779"/>
      <c r="CQ29" s="779"/>
      <c r="CR29" s="779"/>
      <c r="CS29" s="779"/>
      <c r="CT29" s="779"/>
      <c r="CU29" s="779"/>
      <c r="CV29" s="779"/>
      <c r="CW29" s="779"/>
      <c r="CX29" s="779"/>
      <c r="CY29" s="779"/>
      <c r="CZ29" s="779"/>
      <c r="DA29" s="779"/>
      <c r="DB29" s="779"/>
      <c r="DC29" s="779"/>
      <c r="DD29" s="779"/>
      <c r="DE29" s="779"/>
      <c r="DF29" s="779"/>
      <c r="DG29" s="779"/>
      <c r="DH29" s="779"/>
      <c r="DI29" s="779"/>
      <c r="DJ29" s="779"/>
      <c r="DK29" s="779"/>
      <c r="DL29" s="779"/>
      <c r="DM29" s="779"/>
      <c r="DN29" s="779"/>
      <c r="DO29" s="779"/>
      <c r="DP29" s="779"/>
      <c r="DQ29" s="779"/>
      <c r="DR29" s="779"/>
      <c r="DS29" s="779"/>
      <c r="DT29" s="779"/>
      <c r="DU29" s="779"/>
      <c r="DV29" s="779"/>
      <c r="DW29" s="779"/>
      <c r="DX29" s="779"/>
      <c r="DY29" s="779"/>
      <c r="DZ29" s="779"/>
      <c r="EA29" s="779"/>
      <c r="EB29" s="779"/>
      <c r="EC29" s="779"/>
      <c r="ED29" s="779"/>
      <c r="EE29" s="779"/>
      <c r="EF29" s="779"/>
      <c r="EG29" s="779"/>
      <c r="EH29" s="779"/>
      <c r="EI29" s="779"/>
      <c r="EJ29" s="779"/>
      <c r="EK29" s="779"/>
      <c r="EL29" s="779"/>
      <c r="EM29" s="779"/>
      <c r="EN29" s="779"/>
      <c r="EO29" s="779"/>
      <c r="EP29" s="779"/>
      <c r="EQ29" s="779"/>
      <c r="ER29" s="779"/>
      <c r="ES29" s="779"/>
      <c r="ET29" s="779"/>
      <c r="EU29" s="779"/>
      <c r="EV29" s="779"/>
      <c r="EW29" s="779"/>
      <c r="EX29" s="779"/>
      <c r="EY29" s="779"/>
      <c r="EZ29" s="779"/>
      <c r="FA29" s="779"/>
      <c r="FB29" s="779"/>
      <c r="FC29" s="779"/>
      <c r="FD29" s="779"/>
      <c r="FE29" s="779"/>
      <c r="FF29" s="779"/>
      <c r="FG29" s="779"/>
      <c r="FH29" s="779"/>
      <c r="FI29" s="779"/>
      <c r="FJ29" s="779"/>
      <c r="FK29" s="779"/>
      <c r="FL29" s="779"/>
      <c r="FM29" s="779"/>
      <c r="FN29" s="779"/>
      <c r="FO29" s="779"/>
      <c r="FP29" s="779"/>
      <c r="FQ29" s="779"/>
      <c r="FR29" s="779"/>
      <c r="FS29" s="779"/>
      <c r="FT29" s="779"/>
      <c r="FU29" s="779"/>
      <c r="FV29" s="779"/>
      <c r="FW29" s="779"/>
      <c r="FX29" s="779"/>
      <c r="FY29" s="779"/>
      <c r="FZ29" s="779"/>
      <c r="GA29" s="779"/>
      <c r="GB29" s="779"/>
      <c r="GC29" s="779"/>
      <c r="GD29" s="779"/>
      <c r="GE29" s="779"/>
      <c r="GF29" s="779"/>
      <c r="GG29" s="779"/>
      <c r="GH29" s="779"/>
      <c r="GI29" s="779"/>
      <c r="GJ29" s="779"/>
      <c r="GK29" s="779"/>
      <c r="GL29" s="779"/>
      <c r="GM29" s="779"/>
      <c r="GN29" s="779"/>
      <c r="GO29" s="779"/>
      <c r="GP29" s="779"/>
      <c r="GQ29" s="779"/>
      <c r="GR29" s="779"/>
      <c r="GS29" s="779"/>
      <c r="GT29" s="779"/>
      <c r="GU29" s="779"/>
      <c r="GV29" s="779"/>
      <c r="GW29" s="779"/>
      <c r="GX29" s="779"/>
      <c r="GY29" s="779"/>
      <c r="GZ29" s="779"/>
      <c r="HA29" s="779"/>
      <c r="HB29" s="779"/>
      <c r="HC29" s="779"/>
      <c r="HD29" s="779"/>
      <c r="HE29" s="779"/>
      <c r="HF29" s="779"/>
      <c r="HG29" s="779"/>
      <c r="HH29" s="779"/>
      <c r="HI29" s="779"/>
      <c r="HJ29" s="779"/>
      <c r="HK29" s="779"/>
      <c r="HL29" s="779"/>
      <c r="HM29" s="779"/>
      <c r="HN29" s="779"/>
      <c r="HO29" s="779"/>
      <c r="HP29" s="779"/>
      <c r="HQ29" s="779"/>
      <c r="HR29" s="779"/>
      <c r="HS29" s="779"/>
      <c r="HT29" s="779"/>
      <c r="HU29" s="779"/>
      <c r="HV29" s="779"/>
      <c r="HW29" s="779"/>
      <c r="HX29" s="779"/>
      <c r="HY29" s="779"/>
      <c r="HZ29" s="779"/>
      <c r="IA29" s="779"/>
      <c r="IB29" s="779"/>
      <c r="IC29" s="779"/>
      <c r="ID29" s="779"/>
      <c r="IE29" s="779"/>
      <c r="IF29" s="779"/>
      <c r="IG29" s="779"/>
      <c r="IH29" s="779"/>
      <c r="II29" s="779"/>
      <c r="IJ29" s="779"/>
      <c r="IK29" s="779"/>
      <c r="IL29" s="779"/>
      <c r="IM29" s="779"/>
      <c r="IN29" s="779"/>
      <c r="IO29" s="779"/>
      <c r="IP29" s="779"/>
      <c r="IQ29" s="779"/>
      <c r="IR29" s="779"/>
      <c r="IS29" s="779"/>
      <c r="IT29" s="779"/>
      <c r="IU29" s="779"/>
      <c r="IV29" s="779"/>
    </row>
    <row r="30" spans="1:256" s="782" customFormat="1" ht="20.25" customHeight="1">
      <c r="A30" s="1253" t="s">
        <v>1548</v>
      </c>
      <c r="B30" s="1246" t="s">
        <v>1015</v>
      </c>
      <c r="C30" s="1202">
        <v>483100</v>
      </c>
      <c r="D30" s="1243">
        <v>20</v>
      </c>
      <c r="E30" s="1202">
        <f t="shared" si="2"/>
        <v>96620</v>
      </c>
      <c r="F30" s="1208">
        <v>12</v>
      </c>
      <c r="G30" s="1202">
        <f t="shared" si="3"/>
        <v>1159440</v>
      </c>
      <c r="M30" s="779"/>
      <c r="N30" s="779"/>
      <c r="O30" s="779"/>
      <c r="P30" s="779"/>
      <c r="Q30" s="779"/>
      <c r="R30" s="779"/>
      <c r="S30" s="779"/>
      <c r="T30" s="779"/>
      <c r="U30" s="779"/>
      <c r="V30" s="779"/>
      <c r="W30" s="779"/>
      <c r="X30" s="779"/>
      <c r="Y30" s="779"/>
      <c r="Z30" s="779"/>
      <c r="AA30" s="779"/>
      <c r="AB30" s="779"/>
      <c r="AC30" s="779"/>
      <c r="AD30" s="779"/>
      <c r="AE30" s="779"/>
      <c r="AF30" s="779"/>
      <c r="AG30" s="779"/>
      <c r="AH30" s="779"/>
      <c r="AI30" s="779"/>
      <c r="AJ30" s="779"/>
      <c r="AK30" s="779"/>
      <c r="AL30" s="779"/>
      <c r="AM30" s="779"/>
      <c r="AN30" s="779"/>
      <c r="AO30" s="779"/>
      <c r="AP30" s="779"/>
      <c r="AQ30" s="779"/>
      <c r="AR30" s="779"/>
      <c r="AS30" s="779"/>
      <c r="AT30" s="779"/>
      <c r="AU30" s="779"/>
      <c r="AV30" s="779"/>
      <c r="AW30" s="779"/>
      <c r="AX30" s="779"/>
      <c r="AY30" s="779"/>
      <c r="AZ30" s="779"/>
      <c r="BA30" s="779"/>
      <c r="BB30" s="779"/>
      <c r="BC30" s="779"/>
      <c r="BD30" s="779"/>
      <c r="BE30" s="779"/>
      <c r="BF30" s="779"/>
      <c r="BG30" s="779"/>
      <c r="BH30" s="779"/>
      <c r="BI30" s="779"/>
      <c r="BJ30" s="779"/>
      <c r="BK30" s="779"/>
      <c r="BL30" s="779"/>
      <c r="BM30" s="779"/>
      <c r="BN30" s="779"/>
      <c r="BO30" s="779"/>
      <c r="BP30" s="779"/>
      <c r="BQ30" s="779"/>
      <c r="BR30" s="779"/>
      <c r="BS30" s="779"/>
      <c r="BT30" s="779"/>
      <c r="BU30" s="779"/>
      <c r="BV30" s="779"/>
      <c r="BW30" s="779"/>
      <c r="BX30" s="779"/>
      <c r="BY30" s="779"/>
      <c r="BZ30" s="779"/>
      <c r="CA30" s="779"/>
      <c r="CB30" s="779"/>
      <c r="CC30" s="779"/>
      <c r="CD30" s="779"/>
      <c r="CE30" s="779"/>
      <c r="CF30" s="779"/>
      <c r="CG30" s="779"/>
      <c r="CH30" s="779"/>
      <c r="CI30" s="779"/>
      <c r="CJ30" s="779"/>
      <c r="CK30" s="779"/>
      <c r="CL30" s="779"/>
      <c r="CM30" s="779"/>
      <c r="CN30" s="779"/>
      <c r="CO30" s="779"/>
      <c r="CP30" s="779"/>
      <c r="CQ30" s="779"/>
      <c r="CR30" s="779"/>
      <c r="CS30" s="779"/>
      <c r="CT30" s="779"/>
      <c r="CU30" s="779"/>
      <c r="CV30" s="779"/>
      <c r="CW30" s="779"/>
      <c r="CX30" s="779"/>
      <c r="CY30" s="779"/>
      <c r="CZ30" s="779"/>
      <c r="DA30" s="779"/>
      <c r="DB30" s="779"/>
      <c r="DC30" s="779"/>
      <c r="DD30" s="779"/>
      <c r="DE30" s="779"/>
      <c r="DF30" s="779"/>
      <c r="DG30" s="779"/>
      <c r="DH30" s="779"/>
      <c r="DI30" s="779"/>
      <c r="DJ30" s="779"/>
      <c r="DK30" s="779"/>
      <c r="DL30" s="779"/>
      <c r="DM30" s="779"/>
      <c r="DN30" s="779"/>
      <c r="DO30" s="779"/>
      <c r="DP30" s="779"/>
      <c r="DQ30" s="779"/>
      <c r="DR30" s="779"/>
      <c r="DS30" s="779"/>
      <c r="DT30" s="779"/>
      <c r="DU30" s="779"/>
      <c r="DV30" s="779"/>
      <c r="DW30" s="779"/>
      <c r="DX30" s="779"/>
      <c r="DY30" s="779"/>
      <c r="DZ30" s="779"/>
      <c r="EA30" s="779"/>
      <c r="EB30" s="779"/>
      <c r="EC30" s="779"/>
      <c r="ED30" s="779"/>
      <c r="EE30" s="779"/>
      <c r="EF30" s="779"/>
      <c r="EG30" s="779"/>
      <c r="EH30" s="779"/>
      <c r="EI30" s="779"/>
      <c r="EJ30" s="779"/>
      <c r="EK30" s="779"/>
      <c r="EL30" s="779"/>
      <c r="EM30" s="779"/>
      <c r="EN30" s="779"/>
      <c r="EO30" s="779"/>
      <c r="EP30" s="779"/>
      <c r="EQ30" s="779"/>
      <c r="ER30" s="779"/>
      <c r="ES30" s="779"/>
      <c r="ET30" s="779"/>
      <c r="EU30" s="779"/>
      <c r="EV30" s="779"/>
      <c r="EW30" s="779"/>
      <c r="EX30" s="779"/>
      <c r="EY30" s="779"/>
      <c r="EZ30" s="779"/>
      <c r="FA30" s="779"/>
      <c r="FB30" s="779"/>
      <c r="FC30" s="779"/>
      <c r="FD30" s="779"/>
      <c r="FE30" s="779"/>
      <c r="FF30" s="779"/>
      <c r="FG30" s="779"/>
      <c r="FH30" s="779"/>
      <c r="FI30" s="779"/>
      <c r="FJ30" s="779"/>
      <c r="FK30" s="779"/>
      <c r="FL30" s="779"/>
      <c r="FM30" s="779"/>
      <c r="FN30" s="779"/>
      <c r="FO30" s="779"/>
      <c r="FP30" s="779"/>
      <c r="FQ30" s="779"/>
      <c r="FR30" s="779"/>
      <c r="FS30" s="779"/>
      <c r="FT30" s="779"/>
      <c r="FU30" s="779"/>
      <c r="FV30" s="779"/>
      <c r="FW30" s="779"/>
      <c r="FX30" s="779"/>
      <c r="FY30" s="779"/>
      <c r="FZ30" s="779"/>
      <c r="GA30" s="779"/>
      <c r="GB30" s="779"/>
      <c r="GC30" s="779"/>
      <c r="GD30" s="779"/>
      <c r="GE30" s="779"/>
      <c r="GF30" s="779"/>
      <c r="GG30" s="779"/>
      <c r="GH30" s="779"/>
      <c r="GI30" s="779"/>
      <c r="GJ30" s="779"/>
      <c r="GK30" s="779"/>
      <c r="GL30" s="779"/>
      <c r="GM30" s="779"/>
      <c r="GN30" s="779"/>
      <c r="GO30" s="779"/>
      <c r="GP30" s="779"/>
      <c r="GQ30" s="779"/>
      <c r="GR30" s="779"/>
      <c r="GS30" s="779"/>
      <c r="GT30" s="779"/>
      <c r="GU30" s="779"/>
      <c r="GV30" s="779"/>
      <c r="GW30" s="779"/>
      <c r="GX30" s="779"/>
      <c r="GY30" s="779"/>
      <c r="GZ30" s="779"/>
      <c r="HA30" s="779"/>
      <c r="HB30" s="779"/>
      <c r="HC30" s="779"/>
      <c r="HD30" s="779"/>
      <c r="HE30" s="779"/>
      <c r="HF30" s="779"/>
      <c r="HG30" s="779"/>
      <c r="HH30" s="779"/>
      <c r="HI30" s="779"/>
      <c r="HJ30" s="779"/>
      <c r="HK30" s="779"/>
      <c r="HL30" s="779"/>
      <c r="HM30" s="779"/>
      <c r="HN30" s="779"/>
      <c r="HO30" s="779"/>
      <c r="HP30" s="779"/>
      <c r="HQ30" s="779"/>
      <c r="HR30" s="779"/>
      <c r="HS30" s="779"/>
      <c r="HT30" s="779"/>
      <c r="HU30" s="779"/>
      <c r="HV30" s="779"/>
      <c r="HW30" s="779"/>
      <c r="HX30" s="779"/>
      <c r="HY30" s="779"/>
      <c r="HZ30" s="779"/>
      <c r="IA30" s="779"/>
      <c r="IB30" s="779"/>
      <c r="IC30" s="779"/>
      <c r="ID30" s="779"/>
      <c r="IE30" s="779"/>
      <c r="IF30" s="779"/>
      <c r="IG30" s="779"/>
      <c r="IH30" s="779"/>
      <c r="II30" s="779"/>
      <c r="IJ30" s="779"/>
      <c r="IK30" s="779"/>
      <c r="IL30" s="779"/>
      <c r="IM30" s="779"/>
      <c r="IN30" s="779"/>
      <c r="IO30" s="779"/>
      <c r="IP30" s="779"/>
      <c r="IQ30" s="779"/>
      <c r="IR30" s="779"/>
      <c r="IS30" s="779"/>
      <c r="IT30" s="779"/>
      <c r="IU30" s="779"/>
      <c r="IV30" s="779"/>
    </row>
    <row r="31" spans="1:256" s="782" customFormat="1" ht="20.25" customHeight="1">
      <c r="A31" s="1246" t="s">
        <v>1549</v>
      </c>
      <c r="B31" s="1246" t="s">
        <v>1014</v>
      </c>
      <c r="C31" s="1202">
        <v>497200</v>
      </c>
      <c r="D31" s="1243">
        <v>55</v>
      </c>
      <c r="E31" s="1202">
        <f t="shared" si="2"/>
        <v>273460</v>
      </c>
      <c r="F31" s="1208">
        <v>12</v>
      </c>
      <c r="G31" s="1202">
        <f t="shared" si="3"/>
        <v>3281520</v>
      </c>
      <c r="M31" s="779"/>
      <c r="N31" s="779"/>
      <c r="O31" s="779"/>
      <c r="P31" s="779"/>
      <c r="Q31" s="779"/>
      <c r="R31" s="779"/>
      <c r="S31" s="779"/>
      <c r="T31" s="779"/>
      <c r="U31" s="779"/>
      <c r="V31" s="779"/>
      <c r="W31" s="779"/>
      <c r="X31" s="779"/>
      <c r="Y31" s="779"/>
      <c r="Z31" s="779"/>
      <c r="AA31" s="779"/>
      <c r="AB31" s="779"/>
      <c r="AC31" s="779"/>
      <c r="AD31" s="779"/>
      <c r="AE31" s="779"/>
      <c r="AF31" s="779"/>
      <c r="AG31" s="779"/>
      <c r="AH31" s="779"/>
      <c r="AI31" s="779"/>
      <c r="AJ31" s="779"/>
      <c r="AK31" s="779"/>
      <c r="AL31" s="779"/>
      <c r="AM31" s="779"/>
      <c r="AN31" s="779"/>
      <c r="AO31" s="779"/>
      <c r="AP31" s="779"/>
      <c r="AQ31" s="779"/>
      <c r="AR31" s="779"/>
      <c r="AS31" s="779"/>
      <c r="AT31" s="779"/>
      <c r="AU31" s="779"/>
      <c r="AV31" s="779"/>
      <c r="AW31" s="779"/>
      <c r="AX31" s="779"/>
      <c r="AY31" s="779"/>
      <c r="AZ31" s="779"/>
      <c r="BA31" s="779"/>
      <c r="BB31" s="779"/>
      <c r="BC31" s="779"/>
      <c r="BD31" s="779"/>
      <c r="BE31" s="779"/>
      <c r="BF31" s="779"/>
      <c r="BG31" s="779"/>
      <c r="BH31" s="779"/>
      <c r="BI31" s="779"/>
      <c r="BJ31" s="779"/>
      <c r="BK31" s="779"/>
      <c r="BL31" s="779"/>
      <c r="BM31" s="779"/>
      <c r="BN31" s="779"/>
      <c r="BO31" s="779"/>
      <c r="BP31" s="779"/>
      <c r="BQ31" s="779"/>
      <c r="BR31" s="779"/>
      <c r="BS31" s="779"/>
      <c r="BT31" s="779"/>
      <c r="BU31" s="779"/>
      <c r="BV31" s="779"/>
      <c r="BW31" s="779"/>
      <c r="BX31" s="779"/>
      <c r="BY31" s="779"/>
      <c r="BZ31" s="779"/>
      <c r="CA31" s="779"/>
      <c r="CB31" s="779"/>
      <c r="CC31" s="779"/>
      <c r="CD31" s="779"/>
      <c r="CE31" s="779"/>
      <c r="CF31" s="779"/>
      <c r="CG31" s="779"/>
      <c r="CH31" s="779"/>
      <c r="CI31" s="779"/>
      <c r="CJ31" s="779"/>
      <c r="CK31" s="779"/>
      <c r="CL31" s="779"/>
      <c r="CM31" s="779"/>
      <c r="CN31" s="779"/>
      <c r="CO31" s="779"/>
      <c r="CP31" s="779"/>
      <c r="CQ31" s="779"/>
      <c r="CR31" s="779"/>
      <c r="CS31" s="779"/>
      <c r="CT31" s="779"/>
      <c r="CU31" s="779"/>
      <c r="CV31" s="779"/>
      <c r="CW31" s="779"/>
      <c r="CX31" s="779"/>
      <c r="CY31" s="779"/>
      <c r="CZ31" s="779"/>
      <c r="DA31" s="779"/>
      <c r="DB31" s="779"/>
      <c r="DC31" s="779"/>
      <c r="DD31" s="779"/>
      <c r="DE31" s="779"/>
      <c r="DF31" s="779"/>
      <c r="DG31" s="779"/>
      <c r="DH31" s="779"/>
      <c r="DI31" s="779"/>
      <c r="DJ31" s="779"/>
      <c r="DK31" s="779"/>
      <c r="DL31" s="779"/>
      <c r="DM31" s="779"/>
      <c r="DN31" s="779"/>
      <c r="DO31" s="779"/>
      <c r="DP31" s="779"/>
      <c r="DQ31" s="779"/>
      <c r="DR31" s="779"/>
      <c r="DS31" s="779"/>
      <c r="DT31" s="779"/>
      <c r="DU31" s="779"/>
      <c r="DV31" s="779"/>
      <c r="DW31" s="779"/>
      <c r="DX31" s="779"/>
      <c r="DY31" s="779"/>
      <c r="DZ31" s="779"/>
      <c r="EA31" s="779"/>
      <c r="EB31" s="779"/>
      <c r="EC31" s="779"/>
      <c r="ED31" s="779"/>
      <c r="EE31" s="779"/>
      <c r="EF31" s="779"/>
      <c r="EG31" s="779"/>
      <c r="EH31" s="779"/>
      <c r="EI31" s="779"/>
      <c r="EJ31" s="779"/>
      <c r="EK31" s="779"/>
      <c r="EL31" s="779"/>
      <c r="EM31" s="779"/>
      <c r="EN31" s="779"/>
      <c r="EO31" s="779"/>
      <c r="EP31" s="779"/>
      <c r="EQ31" s="779"/>
      <c r="ER31" s="779"/>
      <c r="ES31" s="779"/>
      <c r="ET31" s="779"/>
      <c r="EU31" s="779"/>
      <c r="EV31" s="779"/>
      <c r="EW31" s="779"/>
      <c r="EX31" s="779"/>
      <c r="EY31" s="779"/>
      <c r="EZ31" s="779"/>
      <c r="FA31" s="779"/>
      <c r="FB31" s="779"/>
      <c r="FC31" s="779"/>
      <c r="FD31" s="779"/>
      <c r="FE31" s="779"/>
      <c r="FF31" s="779"/>
      <c r="FG31" s="779"/>
      <c r="FH31" s="779"/>
      <c r="FI31" s="779"/>
      <c r="FJ31" s="779"/>
      <c r="FK31" s="779"/>
      <c r="FL31" s="779"/>
      <c r="FM31" s="779"/>
      <c r="FN31" s="779"/>
      <c r="FO31" s="779"/>
      <c r="FP31" s="779"/>
      <c r="FQ31" s="779"/>
      <c r="FR31" s="779"/>
      <c r="FS31" s="779"/>
      <c r="FT31" s="779"/>
      <c r="FU31" s="779"/>
      <c r="FV31" s="779"/>
      <c r="FW31" s="779"/>
      <c r="FX31" s="779"/>
      <c r="FY31" s="779"/>
      <c r="FZ31" s="779"/>
      <c r="GA31" s="779"/>
      <c r="GB31" s="779"/>
      <c r="GC31" s="779"/>
      <c r="GD31" s="779"/>
      <c r="GE31" s="779"/>
      <c r="GF31" s="779"/>
      <c r="GG31" s="779"/>
      <c r="GH31" s="779"/>
      <c r="GI31" s="779"/>
      <c r="GJ31" s="779"/>
      <c r="GK31" s="779"/>
      <c r="GL31" s="779"/>
      <c r="GM31" s="779"/>
      <c r="GN31" s="779"/>
      <c r="GO31" s="779"/>
      <c r="GP31" s="779"/>
      <c r="GQ31" s="779"/>
      <c r="GR31" s="779"/>
      <c r="GS31" s="779"/>
      <c r="GT31" s="779"/>
      <c r="GU31" s="779"/>
      <c r="GV31" s="779"/>
      <c r="GW31" s="779"/>
      <c r="GX31" s="779"/>
      <c r="GY31" s="779"/>
      <c r="GZ31" s="779"/>
      <c r="HA31" s="779"/>
      <c r="HB31" s="779"/>
      <c r="HC31" s="779"/>
      <c r="HD31" s="779"/>
      <c r="HE31" s="779"/>
      <c r="HF31" s="779"/>
      <c r="HG31" s="779"/>
      <c r="HH31" s="779"/>
      <c r="HI31" s="779"/>
      <c r="HJ31" s="779"/>
      <c r="HK31" s="779"/>
      <c r="HL31" s="779"/>
      <c r="HM31" s="779"/>
      <c r="HN31" s="779"/>
      <c r="HO31" s="779"/>
      <c r="HP31" s="779"/>
      <c r="HQ31" s="779"/>
      <c r="HR31" s="779"/>
      <c r="HS31" s="779"/>
      <c r="HT31" s="779"/>
      <c r="HU31" s="779"/>
      <c r="HV31" s="779"/>
      <c r="HW31" s="779"/>
      <c r="HX31" s="779"/>
      <c r="HY31" s="779"/>
      <c r="HZ31" s="779"/>
      <c r="IA31" s="779"/>
      <c r="IB31" s="779"/>
      <c r="IC31" s="779"/>
      <c r="ID31" s="779"/>
      <c r="IE31" s="779"/>
      <c r="IF31" s="779"/>
      <c r="IG31" s="779"/>
      <c r="IH31" s="779"/>
      <c r="II31" s="779"/>
      <c r="IJ31" s="779"/>
      <c r="IK31" s="779"/>
      <c r="IL31" s="779"/>
      <c r="IM31" s="779"/>
      <c r="IN31" s="779"/>
      <c r="IO31" s="779"/>
      <c r="IP31" s="779"/>
      <c r="IQ31" s="779"/>
      <c r="IR31" s="779"/>
      <c r="IS31" s="779"/>
      <c r="IT31" s="779"/>
      <c r="IU31" s="779"/>
      <c r="IV31" s="779"/>
    </row>
    <row r="32" spans="1:256" ht="20.25" customHeight="1">
      <c r="A32" s="1241" t="s">
        <v>1048</v>
      </c>
      <c r="B32" s="1248"/>
      <c r="C32" s="1249"/>
      <c r="D32" s="1250"/>
      <c r="E32" s="1251"/>
      <c r="F32" s="1252"/>
      <c r="G32" s="1204">
        <f>SUM(G33:G36)</f>
        <v>9844560</v>
      </c>
    </row>
    <row r="33" spans="1:12" ht="20.25" customHeight="1">
      <c r="A33" s="1255" t="s">
        <v>1290</v>
      </c>
      <c r="B33" s="1246" t="s">
        <v>1014</v>
      </c>
      <c r="C33" s="1254">
        <v>497200</v>
      </c>
      <c r="D33" s="1243">
        <v>55</v>
      </c>
      <c r="E33" s="1202">
        <f>C33*D33%</f>
        <v>273460</v>
      </c>
      <c r="F33" s="1208">
        <v>12</v>
      </c>
      <c r="G33" s="1202">
        <f>E33*F33</f>
        <v>3281520</v>
      </c>
    </row>
    <row r="34" spans="1:12" s="1257" customFormat="1" ht="20.25" customHeight="1">
      <c r="A34" s="1255" t="s">
        <v>1291</v>
      </c>
      <c r="B34" s="1246" t="s">
        <v>1014</v>
      </c>
      <c r="C34" s="1254">
        <v>497200</v>
      </c>
      <c r="D34" s="1243">
        <v>55</v>
      </c>
      <c r="E34" s="1202">
        <f>C34*D34%</f>
        <v>273460</v>
      </c>
      <c r="F34" s="1208">
        <v>12</v>
      </c>
      <c r="G34" s="1202">
        <f>E34*F34</f>
        <v>3281520</v>
      </c>
      <c r="H34" s="1256"/>
      <c r="I34" s="782"/>
      <c r="J34" s="1181"/>
      <c r="K34" s="1181"/>
      <c r="L34" s="1181"/>
    </row>
    <row r="35" spans="1:12" ht="20.25" customHeight="1">
      <c r="A35" s="1255" t="s">
        <v>1292</v>
      </c>
      <c r="B35" s="1246" t="s">
        <v>1014</v>
      </c>
      <c r="C35" s="1254">
        <v>497200</v>
      </c>
      <c r="D35" s="1243">
        <v>55</v>
      </c>
      <c r="E35" s="1202">
        <f>C35*D35%</f>
        <v>273460</v>
      </c>
      <c r="F35" s="1208">
        <v>12</v>
      </c>
      <c r="G35" s="1202">
        <f>E35*F35</f>
        <v>3281520</v>
      </c>
    </row>
    <row r="36" spans="1:12" ht="20.25" hidden="1" customHeight="1">
      <c r="A36" s="1246" t="s">
        <v>1550</v>
      </c>
      <c r="B36" s="1199" t="s">
        <v>1015</v>
      </c>
      <c r="C36" s="1254">
        <v>0</v>
      </c>
      <c r="D36" s="1243">
        <v>20</v>
      </c>
      <c r="E36" s="1202">
        <f>C36*D36%</f>
        <v>0</v>
      </c>
      <c r="F36" s="1208">
        <v>12</v>
      </c>
      <c r="G36" s="1202">
        <f>E36*F36</f>
        <v>0</v>
      </c>
    </row>
    <row r="37" spans="1:12" ht="6" customHeight="1">
      <c r="A37" s="1246"/>
      <c r="B37" s="1199"/>
      <c r="C37" s="1200"/>
      <c r="D37" s="1243"/>
      <c r="E37" s="1202"/>
      <c r="F37" s="1208"/>
      <c r="G37" s="1202"/>
    </row>
    <row r="38" spans="1:12" s="1197" customFormat="1" ht="16.5" customHeight="1">
      <c r="A38" s="1258" t="s">
        <v>1012</v>
      </c>
      <c r="B38" s="1259"/>
      <c r="C38" s="1260"/>
      <c r="D38" s="1261"/>
      <c r="E38" s="1262"/>
      <c r="F38" s="1263"/>
      <c r="G38" s="1264">
        <f>SUM(G40)</f>
        <v>7722480</v>
      </c>
      <c r="H38" s="782"/>
      <c r="I38" s="782"/>
      <c r="J38" s="782"/>
      <c r="K38" s="782"/>
      <c r="L38" s="782"/>
    </row>
    <row r="39" spans="1:12" s="782" customFormat="1" ht="6.75" customHeight="1">
      <c r="A39" s="1265"/>
      <c r="B39" s="1209"/>
      <c r="C39" s="1213"/>
      <c r="D39" s="1266"/>
      <c r="E39" s="1206"/>
      <c r="F39" s="1267"/>
      <c r="G39" s="1268"/>
    </row>
    <row r="40" spans="1:12" s="782" customFormat="1" ht="15.75" customHeight="1">
      <c r="A40" s="1258" t="s">
        <v>1043</v>
      </c>
      <c r="B40" s="1259"/>
      <c r="C40" s="1260"/>
      <c r="D40" s="1261"/>
      <c r="E40" s="1262"/>
      <c r="F40" s="1263"/>
      <c r="G40" s="1269">
        <f>SUM(G41:G46)</f>
        <v>7722480</v>
      </c>
    </row>
    <row r="41" spans="1:12" s="782" customFormat="1" ht="18" hidden="1" customHeight="1">
      <c r="A41" s="1205" t="s">
        <v>1551</v>
      </c>
      <c r="B41" s="1205" t="s">
        <v>1014</v>
      </c>
      <c r="C41" s="1210">
        <v>0</v>
      </c>
      <c r="D41" s="1266">
        <v>55</v>
      </c>
      <c r="E41" s="1202">
        <f t="shared" ref="E41:E46" si="4">C41*D41%</f>
        <v>0</v>
      </c>
      <c r="F41" s="1267">
        <v>12</v>
      </c>
      <c r="G41" s="1270">
        <f>E41*F41</f>
        <v>0</v>
      </c>
    </row>
    <row r="42" spans="1:12" s="782" customFormat="1" ht="18" hidden="1" customHeight="1">
      <c r="A42" s="1271" t="s">
        <v>1552</v>
      </c>
      <c r="B42" s="1205" t="s">
        <v>1014</v>
      </c>
      <c r="C42" s="1210">
        <v>0</v>
      </c>
      <c r="D42" s="1266">
        <v>55</v>
      </c>
      <c r="E42" s="1202">
        <f t="shared" si="4"/>
        <v>0</v>
      </c>
      <c r="F42" s="1267">
        <v>12</v>
      </c>
      <c r="G42" s="1270">
        <f>+E42*F42</f>
        <v>0</v>
      </c>
    </row>
    <row r="43" spans="1:12" s="782" customFormat="1" ht="18" customHeight="1">
      <c r="A43" s="1271" t="s">
        <v>1553</v>
      </c>
      <c r="B43" s="1205" t="s">
        <v>1014</v>
      </c>
      <c r="C43" s="1210">
        <v>497200</v>
      </c>
      <c r="D43" s="1266">
        <v>55</v>
      </c>
      <c r="E43" s="1202">
        <f t="shared" si="4"/>
        <v>273460</v>
      </c>
      <c r="F43" s="1267">
        <v>12</v>
      </c>
      <c r="G43" s="1270">
        <f>+E43*F43</f>
        <v>3281520</v>
      </c>
    </row>
    <row r="44" spans="1:12" s="782" customFormat="1" ht="18" customHeight="1">
      <c r="A44" s="1271" t="s">
        <v>1554</v>
      </c>
      <c r="B44" s="1205" t="s">
        <v>1014</v>
      </c>
      <c r="C44" s="1210">
        <v>497200</v>
      </c>
      <c r="D44" s="1266">
        <v>55</v>
      </c>
      <c r="E44" s="1202">
        <f t="shared" si="4"/>
        <v>273460</v>
      </c>
      <c r="F44" s="1267">
        <v>12</v>
      </c>
      <c r="G44" s="1270">
        <f>+E44*F44</f>
        <v>3281520</v>
      </c>
    </row>
    <row r="45" spans="1:12" s="782" customFormat="1" ht="18" customHeight="1">
      <c r="A45" s="1271" t="s">
        <v>1555</v>
      </c>
      <c r="B45" s="1205" t="s">
        <v>1015</v>
      </c>
      <c r="C45" s="1210">
        <v>483100</v>
      </c>
      <c r="D45" s="1266">
        <v>20</v>
      </c>
      <c r="E45" s="1202">
        <f t="shared" si="4"/>
        <v>96620</v>
      </c>
      <c r="F45" s="1267">
        <v>12</v>
      </c>
      <c r="G45" s="1270">
        <f>+E45*F45</f>
        <v>1159440</v>
      </c>
    </row>
    <row r="46" spans="1:12" s="782" customFormat="1" ht="18" hidden="1" customHeight="1">
      <c r="A46" s="1271" t="s">
        <v>1556</v>
      </c>
      <c r="B46" s="1205" t="s">
        <v>1014</v>
      </c>
      <c r="C46" s="1210">
        <v>0</v>
      </c>
      <c r="D46" s="1266">
        <v>55</v>
      </c>
      <c r="E46" s="1202">
        <f t="shared" si="4"/>
        <v>0</v>
      </c>
      <c r="F46" s="1267">
        <v>12</v>
      </c>
      <c r="G46" s="1270">
        <f>+E46*F46</f>
        <v>0</v>
      </c>
    </row>
    <row r="47" spans="1:12" s="782" customFormat="1" ht="7.5" customHeight="1">
      <c r="A47" s="1271"/>
      <c r="B47" s="1205" t="s">
        <v>1022</v>
      </c>
      <c r="C47" s="1210"/>
      <c r="D47" s="1266"/>
      <c r="E47" s="1202"/>
      <c r="F47" s="1267"/>
      <c r="G47" s="1270"/>
    </row>
    <row r="48" spans="1:12" s="1197" customFormat="1" ht="16.5" hidden="1" customHeight="1">
      <c r="A48" s="1258" t="s">
        <v>1200</v>
      </c>
      <c r="B48" s="1259"/>
      <c r="C48" s="1272"/>
      <c r="D48" s="1261"/>
      <c r="E48" s="1262"/>
      <c r="F48" s="1263"/>
      <c r="G48" s="1264">
        <f>SUM(G50)</f>
        <v>0</v>
      </c>
      <c r="H48" s="782"/>
      <c r="I48" s="782"/>
      <c r="J48" s="782"/>
      <c r="K48" s="782"/>
      <c r="L48" s="782"/>
    </row>
    <row r="49" spans="1:49" s="782" customFormat="1" ht="6.75" hidden="1" customHeight="1">
      <c r="A49" s="1258"/>
      <c r="B49" s="1259"/>
      <c r="C49" s="1272"/>
      <c r="D49" s="1261"/>
      <c r="E49" s="1262"/>
      <c r="F49" s="1263"/>
      <c r="G49" s="1264"/>
    </row>
    <row r="50" spans="1:49" s="782" customFormat="1" ht="18" hidden="1" customHeight="1">
      <c r="A50" s="1258" t="s">
        <v>1043</v>
      </c>
      <c r="B50" s="1259"/>
      <c r="C50" s="1272"/>
      <c r="D50" s="1261"/>
      <c r="E50" s="1262"/>
      <c r="F50" s="1263"/>
      <c r="G50" s="1269">
        <f>SUM(G51)</f>
        <v>0</v>
      </c>
    </row>
    <row r="51" spans="1:49" s="782" customFormat="1" ht="18" hidden="1" customHeight="1">
      <c r="A51" s="1271" t="s">
        <v>1542</v>
      </c>
      <c r="B51" s="1205" t="s">
        <v>1014</v>
      </c>
      <c r="C51" s="1210">
        <v>0</v>
      </c>
      <c r="D51" s="1266">
        <v>55</v>
      </c>
      <c r="E51" s="1202">
        <f>C51*D51%</f>
        <v>0</v>
      </c>
      <c r="F51" s="1267">
        <v>1</v>
      </c>
      <c r="G51" s="1270">
        <f>E51*F51</f>
        <v>0</v>
      </c>
    </row>
    <row r="52" spans="1:49" s="782" customFormat="1" ht="7.5" customHeight="1">
      <c r="A52" s="1271"/>
      <c r="B52" s="1205"/>
      <c r="C52" s="1213"/>
      <c r="D52" s="1266"/>
      <c r="E52" s="1202"/>
      <c r="F52" s="1267"/>
      <c r="G52" s="1270"/>
    </row>
    <row r="53" spans="1:49" ht="17.25" customHeight="1">
      <c r="A53" s="1273" t="s">
        <v>63</v>
      </c>
      <c r="B53" s="1274"/>
      <c r="C53" s="1275"/>
      <c r="D53" s="1276"/>
      <c r="E53" s="1252"/>
      <c r="F53" s="1252"/>
      <c r="G53" s="1204">
        <f>+G48+G38+G8</f>
        <v>65992080</v>
      </c>
    </row>
    <row r="54" spans="1:49" ht="9.75" customHeight="1">
      <c r="A54" s="1223"/>
      <c r="B54" s="1223"/>
      <c r="C54" s="1223"/>
      <c r="D54" s="1277"/>
      <c r="E54" s="1223"/>
      <c r="F54" s="1223"/>
      <c r="G54" s="1223"/>
      <c r="H54" s="1215"/>
    </row>
    <row r="55" spans="1:49" ht="12" customHeight="1">
      <c r="D55" s="1278"/>
    </row>
    <row r="56" spans="1:49" ht="12" customHeight="1">
      <c r="D56" s="1278"/>
    </row>
    <row r="57" spans="1:49">
      <c r="D57" s="1278"/>
    </row>
    <row r="58" spans="1:49">
      <c r="A58" s="1226" t="s">
        <v>1557</v>
      </c>
      <c r="B58" s="1227"/>
      <c r="C58" s="1227"/>
      <c r="D58" s="1227"/>
      <c r="E58" s="1227"/>
      <c r="F58" s="1227"/>
      <c r="G58" s="1229">
        <v>41178</v>
      </c>
    </row>
    <row r="59" spans="1:49" ht="15" customHeight="1">
      <c r="A59" s="1227" t="s">
        <v>1558</v>
      </c>
      <c r="B59" s="1227"/>
      <c r="C59" s="1227"/>
      <c r="D59" s="1227"/>
      <c r="E59" s="1227"/>
      <c r="F59" s="1227"/>
      <c r="G59" s="780" t="s">
        <v>628</v>
      </c>
      <c r="M59" s="782"/>
      <c r="N59" s="782"/>
      <c r="O59" s="782"/>
      <c r="P59" s="782"/>
      <c r="Q59" s="782"/>
      <c r="R59" s="782"/>
      <c r="S59" s="782"/>
      <c r="T59" s="782"/>
      <c r="U59" s="782"/>
      <c r="V59" s="782"/>
      <c r="W59" s="782"/>
      <c r="X59" s="782"/>
      <c r="Y59" s="782"/>
      <c r="Z59" s="782"/>
      <c r="AA59" s="782"/>
      <c r="AB59" s="782"/>
      <c r="AC59" s="782"/>
      <c r="AD59" s="782"/>
      <c r="AE59" s="782"/>
      <c r="AF59" s="782"/>
      <c r="AG59" s="782"/>
      <c r="AH59" s="782"/>
      <c r="AI59" s="782"/>
      <c r="AJ59" s="782"/>
      <c r="AK59" s="782"/>
      <c r="AL59" s="782"/>
      <c r="AM59" s="782"/>
      <c r="AN59" s="782"/>
      <c r="AO59" s="782"/>
      <c r="AP59" s="782"/>
      <c r="AQ59" s="782"/>
      <c r="AR59" s="782"/>
      <c r="AS59" s="782"/>
      <c r="AT59" s="782"/>
      <c r="AU59" s="782"/>
      <c r="AV59" s="782"/>
      <c r="AW59" s="782"/>
    </row>
  </sheetData>
  <sheetProtection password="AC08" sheet="1"/>
  <mergeCells count="2">
    <mergeCell ref="A3:G3"/>
    <mergeCell ref="A5:G5"/>
  </mergeCells>
  <printOptions horizontalCentered="1"/>
  <pageMargins left="0.74803149606299213" right="0.55118110236220474" top="0.19685039370078741" bottom="0.78740157480314965" header="0.19685039370078741" footer="0.39370078740157483"/>
  <pageSetup scale="80" orientation="portrait" horizontalDpi="300" verticalDpi="300" r:id="rId1"/>
  <headerFooter alignWithMargins="0">
    <oddFooter>&amp;C&amp;"Times New Roman,Negrita"&amp;13Pág.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5DAA4-5313-4876-B38C-E0C224674676}">
  <sheetPr codeName="Hoja26"/>
  <dimension ref="B1:D7"/>
  <sheetViews>
    <sheetView workbookViewId="0">
      <selection activeCell="C9" sqref="C9"/>
    </sheetView>
  </sheetViews>
  <sheetFormatPr defaultColWidth="11" defaultRowHeight="34.5"/>
  <cols>
    <col min="1" max="1" width="1.5" style="27" customWidth="1"/>
    <col min="2" max="2" width="9.75" style="27" customWidth="1"/>
    <col min="3" max="3" width="55.875" style="27" customWidth="1"/>
    <col min="4" max="4" width="13.375" style="27" customWidth="1"/>
    <col min="5" max="16384" width="11" style="27"/>
  </cols>
  <sheetData>
    <row r="1" spans="2:4" s="559" customFormat="1" ht="20.25"/>
    <row r="2" spans="2:4" ht="59.25">
      <c r="B2" s="54"/>
      <c r="C2" s="70"/>
      <c r="D2" s="54"/>
    </row>
    <row r="3" spans="2:4" ht="59.25">
      <c r="B3" s="54"/>
      <c r="C3" s="70"/>
      <c r="D3" s="54"/>
    </row>
    <row r="4" spans="2:4" ht="59.25">
      <c r="B4" s="54"/>
      <c r="C4" s="70"/>
      <c r="D4" s="54"/>
    </row>
    <row r="5" spans="2:4" ht="54" customHeight="1">
      <c r="B5" s="54"/>
      <c r="C5" s="54"/>
      <c r="D5" s="54"/>
    </row>
    <row r="6" spans="2:4" s="51" customFormat="1" ht="14.25"/>
    <row r="7" spans="2:4" s="51" customFormat="1" ht="14.25"/>
  </sheetData>
  <phoneticPr fontId="0" type="noConversion"/>
  <printOptions horizontalCentered="1" verticalCentered="1"/>
  <pageMargins left="1.24" right="0.39370078740157483" top="0.19685039370078741" bottom="0.78740157480314965" header="0" footer="0.19685039370078741"/>
  <pageSetup orientation="portrait" horizontalDpi="360" verticalDpi="360" r:id="rId1"/>
  <headerFooter alignWithMargins="0"/>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1997-2CD1-4620-91C5-12E1C61974E9}">
  <sheetPr codeName="Hoja27"/>
  <dimension ref="A1:E289"/>
  <sheetViews>
    <sheetView topLeftCell="A229" workbookViewId="0">
      <selection activeCell="G247" sqref="G247"/>
    </sheetView>
  </sheetViews>
  <sheetFormatPr defaultColWidth="10" defaultRowHeight="12.75"/>
  <cols>
    <col min="1" max="2" width="10" style="428" customWidth="1"/>
    <col min="3" max="3" width="57.75" style="428" customWidth="1"/>
    <col min="4" max="4" width="10" style="428"/>
    <col min="5" max="5" width="13" style="428" customWidth="1"/>
    <col min="6" max="16384" width="10" style="428"/>
  </cols>
  <sheetData>
    <row r="1" spans="1:5" s="564" customFormat="1" ht="20.25">
      <c r="B1" s="597" t="s">
        <v>677</v>
      </c>
      <c r="C1"/>
      <c r="D1" s="598">
        <v>39500</v>
      </c>
      <c r="E1" s="599" t="s">
        <v>1156</v>
      </c>
    </row>
    <row r="2" spans="1:5" ht="16.5" thickBot="1">
      <c r="A2" s="429"/>
      <c r="B2" s="600" t="s">
        <v>593</v>
      </c>
      <c r="C2" s="600" t="s">
        <v>678</v>
      </c>
      <c r="D2"/>
      <c r="E2"/>
    </row>
    <row r="3" spans="1:5" ht="15.75">
      <c r="B3" s="601" t="s">
        <v>1152</v>
      </c>
      <c r="C3" s="602" t="s">
        <v>322</v>
      </c>
      <c r="D3"/>
      <c r="E3"/>
    </row>
    <row r="4" spans="1:5" ht="15.75">
      <c r="B4" s="603" t="s">
        <v>323</v>
      </c>
      <c r="C4" s="604" t="s">
        <v>324</v>
      </c>
      <c r="D4"/>
      <c r="E4"/>
    </row>
    <row r="5" spans="1:5" ht="15.75">
      <c r="B5" s="603" t="s">
        <v>325</v>
      </c>
      <c r="C5" s="604" t="s">
        <v>326</v>
      </c>
      <c r="D5"/>
      <c r="E5"/>
    </row>
    <row r="6" spans="1:5" ht="15.75">
      <c r="B6" s="603" t="s">
        <v>327</v>
      </c>
      <c r="C6" s="604" t="s">
        <v>70</v>
      </c>
      <c r="D6"/>
      <c r="E6"/>
    </row>
    <row r="7" spans="1:5" ht="15.75">
      <c r="B7" s="603" t="s">
        <v>679</v>
      </c>
      <c r="C7" s="604" t="s">
        <v>680</v>
      </c>
      <c r="D7"/>
      <c r="E7"/>
    </row>
    <row r="8" spans="1:5" ht="15.75">
      <c r="B8" s="603" t="s">
        <v>328</v>
      </c>
      <c r="C8" s="604" t="s">
        <v>329</v>
      </c>
      <c r="D8"/>
      <c r="E8"/>
    </row>
    <row r="9" spans="1:5" ht="15.75">
      <c r="B9" s="601" t="s">
        <v>330</v>
      </c>
      <c r="C9" s="602" t="s">
        <v>331</v>
      </c>
      <c r="D9"/>
      <c r="E9"/>
    </row>
    <row r="10" spans="1:5" ht="15.75">
      <c r="B10" s="603" t="s">
        <v>332</v>
      </c>
      <c r="C10" s="604" t="s">
        <v>333</v>
      </c>
      <c r="D10"/>
      <c r="E10"/>
    </row>
    <row r="11" spans="1:5" ht="15.75">
      <c r="B11" s="603" t="s">
        <v>334</v>
      </c>
      <c r="C11" s="604" t="s">
        <v>107</v>
      </c>
      <c r="D11"/>
      <c r="E11"/>
    </row>
    <row r="12" spans="1:5" ht="15.75">
      <c r="B12" s="603" t="s">
        <v>681</v>
      </c>
      <c r="C12" s="604" t="s">
        <v>682</v>
      </c>
      <c r="D12"/>
      <c r="E12"/>
    </row>
    <row r="13" spans="1:5" ht="15.75">
      <c r="B13" s="603" t="s">
        <v>683</v>
      </c>
      <c r="C13" s="604" t="s">
        <v>684</v>
      </c>
      <c r="D13"/>
      <c r="E13"/>
    </row>
    <row r="14" spans="1:5" ht="15.75">
      <c r="B14" s="603" t="s">
        <v>335</v>
      </c>
      <c r="C14" s="604" t="s">
        <v>69</v>
      </c>
      <c r="D14"/>
      <c r="E14"/>
    </row>
    <row r="15" spans="1:5" ht="15.75">
      <c r="B15" s="601" t="s">
        <v>336</v>
      </c>
      <c r="C15" s="602" t="s">
        <v>337</v>
      </c>
      <c r="D15"/>
      <c r="E15"/>
    </row>
    <row r="16" spans="1:5" ht="15.75">
      <c r="B16" s="603" t="s">
        <v>338</v>
      </c>
      <c r="C16" s="604" t="s">
        <v>339</v>
      </c>
      <c r="D16"/>
      <c r="E16"/>
    </row>
    <row r="17" spans="2:5" ht="15.75">
      <c r="B17" s="603" t="s">
        <v>340</v>
      </c>
      <c r="C17" s="604" t="s">
        <v>341</v>
      </c>
      <c r="D17"/>
      <c r="E17"/>
    </row>
    <row r="18" spans="2:5" ht="15.75">
      <c r="B18" s="603" t="s">
        <v>342</v>
      </c>
      <c r="C18" s="604" t="s">
        <v>57</v>
      </c>
      <c r="D18"/>
      <c r="E18"/>
    </row>
    <row r="19" spans="2:5" ht="15.75">
      <c r="B19" s="603" t="s">
        <v>685</v>
      </c>
      <c r="C19" s="604" t="s">
        <v>686</v>
      </c>
      <c r="D19"/>
      <c r="E19"/>
    </row>
    <row r="20" spans="2:5" ht="15.75">
      <c r="B20" s="603" t="s">
        <v>343</v>
      </c>
      <c r="C20" s="604" t="s">
        <v>344</v>
      </c>
      <c r="D20"/>
      <c r="E20"/>
    </row>
    <row r="21" spans="2:5" ht="26.25">
      <c r="B21" s="601" t="s">
        <v>345</v>
      </c>
      <c r="C21" s="602" t="s">
        <v>346</v>
      </c>
      <c r="D21"/>
      <c r="E21"/>
    </row>
    <row r="22" spans="2:5" ht="26.25">
      <c r="B22" s="603" t="s">
        <v>347</v>
      </c>
      <c r="C22" s="604" t="s">
        <v>687</v>
      </c>
      <c r="D22"/>
      <c r="E22"/>
    </row>
    <row r="23" spans="2:5" ht="15.75">
      <c r="B23" s="603" t="s">
        <v>688</v>
      </c>
      <c r="C23" s="604" t="s">
        <v>689</v>
      </c>
      <c r="D23"/>
      <c r="E23"/>
    </row>
    <row r="24" spans="2:5" ht="15.75">
      <c r="B24" s="603" t="s">
        <v>690</v>
      </c>
      <c r="C24" s="604" t="s">
        <v>691</v>
      </c>
      <c r="D24"/>
      <c r="E24"/>
    </row>
    <row r="25" spans="2:5" ht="26.25">
      <c r="B25" s="603" t="s">
        <v>692</v>
      </c>
      <c r="C25" s="604" t="s">
        <v>693</v>
      </c>
      <c r="D25"/>
      <c r="E25"/>
    </row>
    <row r="26" spans="2:5" ht="15.75">
      <c r="B26" s="603" t="s">
        <v>348</v>
      </c>
      <c r="C26" s="604" t="s">
        <v>694</v>
      </c>
      <c r="D26"/>
      <c r="E26"/>
    </row>
    <row r="27" spans="2:5" ht="26.25">
      <c r="B27" s="601" t="s">
        <v>349</v>
      </c>
      <c r="C27" s="602" t="s">
        <v>695</v>
      </c>
      <c r="D27"/>
      <c r="E27"/>
    </row>
    <row r="28" spans="2:5" ht="26.25">
      <c r="B28" s="603" t="s">
        <v>350</v>
      </c>
      <c r="C28" s="604" t="s">
        <v>696</v>
      </c>
      <c r="D28"/>
      <c r="E28"/>
    </row>
    <row r="29" spans="2:5" ht="15.75">
      <c r="B29" s="603" t="s">
        <v>351</v>
      </c>
      <c r="C29" s="604" t="s">
        <v>697</v>
      </c>
      <c r="D29"/>
      <c r="E29"/>
    </row>
    <row r="30" spans="2:5" ht="15.75">
      <c r="B30" s="603" t="s">
        <v>352</v>
      </c>
      <c r="C30" s="604" t="s">
        <v>698</v>
      </c>
      <c r="D30"/>
      <c r="E30"/>
    </row>
    <row r="31" spans="2:5" ht="15.75">
      <c r="B31" s="603" t="s">
        <v>699</v>
      </c>
      <c r="C31" s="604" t="s">
        <v>700</v>
      </c>
      <c r="D31"/>
      <c r="E31"/>
    </row>
    <row r="32" spans="2:5" ht="15.75">
      <c r="B32" s="603" t="s">
        <v>353</v>
      </c>
      <c r="C32" s="604" t="s">
        <v>701</v>
      </c>
      <c r="D32"/>
      <c r="E32"/>
    </row>
    <row r="33" spans="2:5" ht="15.75">
      <c r="B33" s="601" t="s">
        <v>702</v>
      </c>
      <c r="C33" s="602" t="s">
        <v>703</v>
      </c>
      <c r="D33"/>
      <c r="E33"/>
    </row>
    <row r="34" spans="2:5" ht="15.75">
      <c r="B34" s="603" t="s">
        <v>704</v>
      </c>
      <c r="C34" s="604" t="s">
        <v>705</v>
      </c>
      <c r="D34"/>
      <c r="E34"/>
    </row>
    <row r="35" spans="2:5" ht="15.75">
      <c r="B35" s="603" t="s">
        <v>706</v>
      </c>
      <c r="C35" s="604" t="s">
        <v>707</v>
      </c>
      <c r="D35"/>
      <c r="E35"/>
    </row>
    <row r="36" spans="2:5" ht="15.75">
      <c r="B36" s="605">
        <v>1</v>
      </c>
      <c r="C36" s="606" t="s">
        <v>282</v>
      </c>
      <c r="D36"/>
      <c r="E36"/>
    </row>
    <row r="37" spans="2:5" ht="15.75">
      <c r="B37" s="601" t="s">
        <v>354</v>
      </c>
      <c r="C37" s="602" t="s">
        <v>355</v>
      </c>
      <c r="D37"/>
      <c r="E37"/>
    </row>
    <row r="38" spans="2:5" ht="15.75">
      <c r="B38" s="603" t="s">
        <v>356</v>
      </c>
      <c r="C38" s="604" t="s">
        <v>357</v>
      </c>
      <c r="D38"/>
      <c r="E38"/>
    </row>
    <row r="39" spans="2:5" ht="15.75">
      <c r="B39" s="603" t="s">
        <v>358</v>
      </c>
      <c r="C39" s="604" t="s">
        <v>359</v>
      </c>
      <c r="D39"/>
      <c r="E39"/>
    </row>
    <row r="40" spans="2:5" ht="15.75">
      <c r="B40" s="603" t="s">
        <v>708</v>
      </c>
      <c r="C40" s="607" t="s">
        <v>709</v>
      </c>
      <c r="D40"/>
      <c r="E40"/>
    </row>
    <row r="41" spans="2:5" ht="15.75">
      <c r="B41" s="603" t="s">
        <v>710</v>
      </c>
      <c r="C41" s="607" t="s">
        <v>711</v>
      </c>
      <c r="D41"/>
      <c r="E41"/>
    </row>
    <row r="42" spans="2:5" ht="15.75">
      <c r="B42" s="603" t="s">
        <v>360</v>
      </c>
      <c r="C42" s="607" t="s">
        <v>361</v>
      </c>
      <c r="D42"/>
      <c r="E42"/>
    </row>
    <row r="43" spans="2:5" ht="15.75">
      <c r="B43" s="601" t="s">
        <v>362</v>
      </c>
      <c r="C43" s="602" t="s">
        <v>363</v>
      </c>
      <c r="D43"/>
      <c r="E43"/>
    </row>
    <row r="44" spans="2:5" ht="15.75">
      <c r="B44" s="603" t="s">
        <v>364</v>
      </c>
      <c r="C44" s="604" t="s">
        <v>365</v>
      </c>
      <c r="D44"/>
      <c r="E44"/>
    </row>
    <row r="45" spans="2:5" ht="15.75">
      <c r="B45" s="603" t="s">
        <v>366</v>
      </c>
      <c r="C45" s="604" t="s">
        <v>367</v>
      </c>
      <c r="D45"/>
      <c r="E45"/>
    </row>
    <row r="46" spans="2:5" ht="15.75">
      <c r="B46" s="603" t="s">
        <v>368</v>
      </c>
      <c r="C46" s="604" t="s">
        <v>369</v>
      </c>
      <c r="D46"/>
      <c r="E46"/>
    </row>
    <row r="47" spans="2:5" ht="15.75">
      <c r="B47" s="603" t="s">
        <v>370</v>
      </c>
      <c r="C47" s="604" t="s">
        <v>371</v>
      </c>
      <c r="D47"/>
      <c r="E47"/>
    </row>
    <row r="48" spans="2:5" ht="15.75">
      <c r="B48" s="603" t="s">
        <v>372</v>
      </c>
      <c r="C48" s="604" t="s">
        <v>373</v>
      </c>
      <c r="D48"/>
      <c r="E48"/>
    </row>
    <row r="49" spans="2:5" ht="15.75">
      <c r="B49" s="601" t="s">
        <v>374</v>
      </c>
      <c r="C49" s="602" t="s">
        <v>375</v>
      </c>
      <c r="D49"/>
      <c r="E49"/>
    </row>
    <row r="50" spans="2:5" ht="15.75">
      <c r="B50" s="603" t="s">
        <v>376</v>
      </c>
      <c r="C50" s="604" t="s">
        <v>377</v>
      </c>
      <c r="D50"/>
      <c r="E50"/>
    </row>
    <row r="51" spans="2:5" ht="15.75">
      <c r="B51" s="603" t="s">
        <v>378</v>
      </c>
      <c r="C51" s="604" t="s">
        <v>379</v>
      </c>
      <c r="D51"/>
      <c r="E51"/>
    </row>
    <row r="52" spans="2:5" ht="15.75">
      <c r="B52" s="603" t="s">
        <v>380</v>
      </c>
      <c r="C52" s="604" t="s">
        <v>381</v>
      </c>
      <c r="D52"/>
      <c r="E52"/>
    </row>
    <row r="53" spans="2:5" ht="15.75">
      <c r="B53" s="603" t="s">
        <v>1076</v>
      </c>
      <c r="C53" s="604" t="s">
        <v>1077</v>
      </c>
      <c r="D53"/>
      <c r="E53"/>
    </row>
    <row r="54" spans="2:5" ht="15.75">
      <c r="B54" s="603" t="s">
        <v>712</v>
      </c>
      <c r="C54" s="604" t="s">
        <v>713</v>
      </c>
      <c r="D54"/>
      <c r="E54"/>
    </row>
    <row r="55" spans="2:5" ht="15.75">
      <c r="B55" s="603" t="s">
        <v>676</v>
      </c>
      <c r="C55" s="604" t="s">
        <v>714</v>
      </c>
      <c r="D55"/>
      <c r="E55"/>
    </row>
    <row r="56" spans="2:5" ht="15.75">
      <c r="B56" s="603" t="s">
        <v>1078</v>
      </c>
      <c r="C56" s="607" t="s">
        <v>715</v>
      </c>
      <c r="D56"/>
      <c r="E56"/>
    </row>
    <row r="57" spans="2:5" ht="15.75">
      <c r="B57" s="601" t="s">
        <v>382</v>
      </c>
      <c r="C57" s="602" t="s">
        <v>383</v>
      </c>
      <c r="D57"/>
      <c r="E57"/>
    </row>
    <row r="58" spans="2:5" ht="15.75">
      <c r="B58" s="603" t="s">
        <v>716</v>
      </c>
      <c r="C58" s="604" t="s">
        <v>717</v>
      </c>
      <c r="D58"/>
      <c r="E58"/>
    </row>
    <row r="59" spans="2:5" ht="15.75">
      <c r="B59" s="603" t="s">
        <v>384</v>
      </c>
      <c r="C59" s="604" t="s">
        <v>385</v>
      </c>
      <c r="D59"/>
      <c r="E59"/>
    </row>
    <row r="60" spans="2:5" ht="15.75">
      <c r="B60" s="603" t="s">
        <v>386</v>
      </c>
      <c r="C60" s="604" t="s">
        <v>387</v>
      </c>
      <c r="D60"/>
      <c r="E60"/>
    </row>
    <row r="61" spans="2:5" ht="15.75">
      <c r="B61" s="603" t="s">
        <v>718</v>
      </c>
      <c r="C61" s="604" t="s">
        <v>719</v>
      </c>
      <c r="D61"/>
      <c r="E61"/>
    </row>
    <row r="62" spans="2:5" ht="15.75">
      <c r="B62" s="603" t="s">
        <v>720</v>
      </c>
      <c r="C62" s="604" t="s">
        <v>721</v>
      </c>
      <c r="D62"/>
      <c r="E62"/>
    </row>
    <row r="63" spans="2:5" ht="15.75">
      <c r="B63" s="603" t="s">
        <v>388</v>
      </c>
      <c r="C63" s="604" t="s">
        <v>722</v>
      </c>
      <c r="D63"/>
      <c r="E63"/>
    </row>
    <row r="64" spans="2:5" ht="15.75">
      <c r="B64" s="603" t="s">
        <v>389</v>
      </c>
      <c r="C64" s="604" t="s">
        <v>723</v>
      </c>
      <c r="D64"/>
      <c r="E64"/>
    </row>
    <row r="65" spans="2:5" ht="15.75">
      <c r="B65" s="601" t="s">
        <v>390</v>
      </c>
      <c r="C65" s="602" t="s">
        <v>724</v>
      </c>
      <c r="D65"/>
      <c r="E65"/>
    </row>
    <row r="66" spans="2:5" ht="15.75">
      <c r="B66" s="603" t="s">
        <v>391</v>
      </c>
      <c r="C66" s="604" t="s">
        <v>392</v>
      </c>
      <c r="D66"/>
      <c r="E66"/>
    </row>
    <row r="67" spans="2:5" ht="15.75">
      <c r="B67" s="603" t="s">
        <v>393</v>
      </c>
      <c r="C67" s="604" t="s">
        <v>394</v>
      </c>
      <c r="D67"/>
      <c r="E67"/>
    </row>
    <row r="68" spans="2:5" ht="15.75">
      <c r="B68" s="603" t="s">
        <v>725</v>
      </c>
      <c r="C68" s="604" t="s">
        <v>726</v>
      </c>
      <c r="D68"/>
      <c r="E68"/>
    </row>
    <row r="69" spans="2:5" ht="15.75">
      <c r="B69" s="603" t="s">
        <v>727</v>
      </c>
      <c r="C69" s="604" t="s">
        <v>728</v>
      </c>
      <c r="D69"/>
      <c r="E69"/>
    </row>
    <row r="70" spans="2:5" ht="15.75">
      <c r="B70" s="601" t="s">
        <v>395</v>
      </c>
      <c r="C70" s="602" t="s">
        <v>396</v>
      </c>
      <c r="D70"/>
      <c r="E70"/>
    </row>
    <row r="71" spans="2:5" ht="15.75">
      <c r="B71" s="603" t="s">
        <v>397</v>
      </c>
      <c r="C71" s="604" t="s">
        <v>729</v>
      </c>
      <c r="D71"/>
      <c r="E71"/>
    </row>
    <row r="72" spans="2:5" ht="15.75">
      <c r="B72" s="603" t="s">
        <v>730</v>
      </c>
      <c r="C72" s="607" t="s">
        <v>731</v>
      </c>
      <c r="D72"/>
      <c r="E72"/>
    </row>
    <row r="73" spans="2:5" ht="15.75">
      <c r="B73" s="603" t="s">
        <v>732</v>
      </c>
      <c r="C73" s="607" t="s">
        <v>733</v>
      </c>
      <c r="D73"/>
      <c r="E73"/>
    </row>
    <row r="74" spans="2:5" ht="15.75">
      <c r="B74" s="601" t="s">
        <v>398</v>
      </c>
      <c r="C74" s="602" t="s">
        <v>399</v>
      </c>
      <c r="D74"/>
      <c r="E74"/>
    </row>
    <row r="75" spans="2:5" ht="15.75">
      <c r="B75" s="603" t="s">
        <v>400</v>
      </c>
      <c r="C75" s="607" t="s">
        <v>401</v>
      </c>
      <c r="D75"/>
      <c r="E75"/>
    </row>
    <row r="76" spans="2:5" ht="15.75">
      <c r="B76" s="603" t="s">
        <v>402</v>
      </c>
      <c r="C76" s="607" t="s">
        <v>403</v>
      </c>
      <c r="D76"/>
      <c r="E76"/>
    </row>
    <row r="77" spans="2:5" ht="15.75">
      <c r="B77" s="603" t="s">
        <v>404</v>
      </c>
      <c r="C77" s="604" t="s">
        <v>405</v>
      </c>
      <c r="D77"/>
      <c r="E77"/>
    </row>
    <row r="78" spans="2:5" ht="15.75">
      <c r="B78" s="601" t="s">
        <v>406</v>
      </c>
      <c r="C78" s="602" t="s">
        <v>407</v>
      </c>
      <c r="D78"/>
      <c r="E78"/>
    </row>
    <row r="79" spans="2:5" ht="15.75">
      <c r="B79" s="603" t="s">
        <v>408</v>
      </c>
      <c r="C79" s="604" t="s">
        <v>1157</v>
      </c>
      <c r="D79"/>
      <c r="E79"/>
    </row>
    <row r="80" spans="2:5" ht="15.75">
      <c r="B80" s="603" t="s">
        <v>734</v>
      </c>
      <c r="C80" s="604" t="s">
        <v>735</v>
      </c>
      <c r="D80"/>
      <c r="E80"/>
    </row>
    <row r="81" spans="2:5" ht="15.75">
      <c r="B81" s="603" t="s">
        <v>409</v>
      </c>
      <c r="C81" s="604" t="s">
        <v>736</v>
      </c>
      <c r="D81"/>
      <c r="E81"/>
    </row>
    <row r="82" spans="2:5" ht="15.75">
      <c r="B82" s="603" t="s">
        <v>410</v>
      </c>
      <c r="C82" s="604" t="s">
        <v>737</v>
      </c>
      <c r="D82"/>
      <c r="E82"/>
    </row>
    <row r="83" spans="2:5" ht="15.75">
      <c r="B83" s="603" t="s">
        <v>411</v>
      </c>
      <c r="C83" s="604" t="s">
        <v>738</v>
      </c>
      <c r="D83"/>
      <c r="E83"/>
    </row>
    <row r="84" spans="2:5" ht="15.75">
      <c r="B84" s="603" t="s">
        <v>412</v>
      </c>
      <c r="C84" s="604" t="s">
        <v>739</v>
      </c>
      <c r="D84"/>
      <c r="E84"/>
    </row>
    <row r="85" spans="2:5" ht="15.75">
      <c r="B85" s="603" t="s">
        <v>415</v>
      </c>
      <c r="C85" s="604" t="s">
        <v>740</v>
      </c>
      <c r="D85"/>
      <c r="E85"/>
    </row>
    <row r="86" spans="2:5" ht="26.25">
      <c r="B86" s="603" t="s">
        <v>416</v>
      </c>
      <c r="C86" s="604" t="s">
        <v>741</v>
      </c>
      <c r="D86"/>
      <c r="E86"/>
    </row>
    <row r="87" spans="2:5" ht="15.75">
      <c r="B87" s="603" t="s">
        <v>1079</v>
      </c>
      <c r="C87" s="604" t="s">
        <v>1080</v>
      </c>
      <c r="D87"/>
      <c r="E87"/>
    </row>
    <row r="88" spans="2:5" ht="15.75">
      <c r="B88" s="601" t="s">
        <v>1153</v>
      </c>
      <c r="C88" s="602" t="s">
        <v>417</v>
      </c>
      <c r="D88"/>
      <c r="E88"/>
    </row>
    <row r="89" spans="2:5" ht="15.75">
      <c r="B89" s="603" t="s">
        <v>1175</v>
      </c>
      <c r="C89" s="607" t="s">
        <v>742</v>
      </c>
      <c r="D89"/>
      <c r="E89"/>
    </row>
    <row r="90" spans="2:5" ht="15.75">
      <c r="B90" s="603" t="s">
        <v>743</v>
      </c>
      <c r="C90" s="607" t="s">
        <v>744</v>
      </c>
      <c r="D90"/>
      <c r="E90"/>
    </row>
    <row r="91" spans="2:5" ht="15.75">
      <c r="B91" s="603" t="s">
        <v>745</v>
      </c>
      <c r="C91" s="607" t="s">
        <v>746</v>
      </c>
      <c r="D91"/>
      <c r="E91"/>
    </row>
    <row r="92" spans="2:5" ht="15.75">
      <c r="B92" s="603" t="s">
        <v>418</v>
      </c>
      <c r="C92" s="607" t="s">
        <v>747</v>
      </c>
      <c r="D92"/>
      <c r="E92"/>
    </row>
    <row r="93" spans="2:5" ht="15.75">
      <c r="B93" s="601" t="s">
        <v>1154</v>
      </c>
      <c r="C93" s="602" t="s">
        <v>419</v>
      </c>
      <c r="D93"/>
      <c r="E93"/>
    </row>
    <row r="94" spans="2:5" ht="15.75">
      <c r="B94" s="603" t="s">
        <v>748</v>
      </c>
      <c r="C94" s="607" t="s">
        <v>749</v>
      </c>
      <c r="D94"/>
      <c r="E94"/>
    </row>
    <row r="95" spans="2:5" ht="15.75">
      <c r="B95" s="603" t="s">
        <v>750</v>
      </c>
      <c r="C95" s="607" t="s">
        <v>751</v>
      </c>
      <c r="D95"/>
      <c r="E95"/>
    </row>
    <row r="96" spans="2:5" ht="15.75">
      <c r="B96" s="603" t="s">
        <v>752</v>
      </c>
      <c r="C96" s="607" t="s">
        <v>753</v>
      </c>
      <c r="D96"/>
      <c r="E96"/>
    </row>
    <row r="97" spans="2:5" ht="15.75">
      <c r="B97" s="603" t="s">
        <v>754</v>
      </c>
      <c r="C97" s="607" t="s">
        <v>755</v>
      </c>
      <c r="D97"/>
      <c r="E97"/>
    </row>
    <row r="98" spans="2:5" ht="15.75">
      <c r="B98" s="603" t="s">
        <v>512</v>
      </c>
      <c r="C98" s="607" t="s">
        <v>420</v>
      </c>
      <c r="D98"/>
      <c r="E98"/>
    </row>
    <row r="99" spans="2:5" ht="15.75">
      <c r="B99" s="603" t="s">
        <v>641</v>
      </c>
      <c r="C99" s="607" t="s">
        <v>756</v>
      </c>
      <c r="D99"/>
      <c r="E99"/>
    </row>
    <row r="100" spans="2:5" ht="15.75">
      <c r="B100" s="605">
        <v>2</v>
      </c>
      <c r="C100" s="606" t="s">
        <v>58</v>
      </c>
      <c r="D100"/>
      <c r="E100"/>
    </row>
    <row r="101" spans="2:5" ht="15.75">
      <c r="B101" s="601" t="s">
        <v>421</v>
      </c>
      <c r="C101" s="602" t="s">
        <v>422</v>
      </c>
      <c r="D101"/>
      <c r="E101"/>
    </row>
    <row r="102" spans="2:5" ht="15.75">
      <c r="B102" s="603" t="s">
        <v>423</v>
      </c>
      <c r="C102" s="604" t="s">
        <v>424</v>
      </c>
      <c r="D102"/>
      <c r="E102"/>
    </row>
    <row r="103" spans="2:5" ht="15.75">
      <c r="B103" s="603" t="s">
        <v>425</v>
      </c>
      <c r="C103" s="604" t="s">
        <v>426</v>
      </c>
      <c r="D103"/>
      <c r="E103"/>
    </row>
    <row r="104" spans="2:5" ht="15.75">
      <c r="B104" s="603" t="s">
        <v>757</v>
      </c>
      <c r="C104" s="604" t="s">
        <v>758</v>
      </c>
      <c r="D104"/>
      <c r="E104"/>
    </row>
    <row r="105" spans="2:5" ht="15.75">
      <c r="B105" s="603" t="s">
        <v>427</v>
      </c>
      <c r="C105" s="604" t="s">
        <v>428</v>
      </c>
      <c r="D105"/>
      <c r="E105"/>
    </row>
    <row r="106" spans="2:5" ht="15.75">
      <c r="B106" s="603" t="s">
        <v>429</v>
      </c>
      <c r="C106" s="604" t="s">
        <v>1158</v>
      </c>
      <c r="D106"/>
      <c r="E106"/>
    </row>
    <row r="107" spans="2:5" ht="15.75">
      <c r="B107" s="601" t="s">
        <v>430</v>
      </c>
      <c r="C107" s="602" t="s">
        <v>759</v>
      </c>
      <c r="D107"/>
      <c r="E107"/>
    </row>
    <row r="108" spans="2:5" ht="15.75">
      <c r="B108" s="603" t="s">
        <v>760</v>
      </c>
      <c r="C108" s="607" t="s">
        <v>761</v>
      </c>
      <c r="D108"/>
      <c r="E108"/>
    </row>
    <row r="109" spans="2:5" ht="15.75">
      <c r="B109" s="603" t="s">
        <v>1081</v>
      </c>
      <c r="C109" s="604" t="s">
        <v>1082</v>
      </c>
      <c r="D109"/>
      <c r="E109"/>
    </row>
    <row r="110" spans="2:5" ht="15.75">
      <c r="B110" s="603" t="s">
        <v>431</v>
      </c>
      <c r="C110" s="604" t="s">
        <v>432</v>
      </c>
      <c r="D110"/>
      <c r="E110"/>
    </row>
    <row r="111" spans="2:5" ht="15.75">
      <c r="B111" s="603" t="s">
        <v>642</v>
      </c>
      <c r="C111" s="604" t="s">
        <v>643</v>
      </c>
      <c r="D111"/>
      <c r="E111"/>
    </row>
    <row r="112" spans="2:5" ht="26.25">
      <c r="B112" s="601" t="s">
        <v>433</v>
      </c>
      <c r="C112" s="602" t="s">
        <v>434</v>
      </c>
      <c r="D112"/>
      <c r="E112"/>
    </row>
    <row r="113" spans="1:5" ht="15.75">
      <c r="B113" s="603" t="s">
        <v>435</v>
      </c>
      <c r="C113" s="604" t="s">
        <v>436</v>
      </c>
      <c r="D113"/>
      <c r="E113"/>
    </row>
    <row r="114" spans="1:5" ht="15.75">
      <c r="B114" s="603" t="s">
        <v>437</v>
      </c>
      <c r="C114" s="604" t="s">
        <v>438</v>
      </c>
      <c r="D114"/>
      <c r="E114"/>
    </row>
    <row r="115" spans="1:5" ht="15.75">
      <c r="B115" s="603" t="s">
        <v>439</v>
      </c>
      <c r="C115" s="604" t="s">
        <v>440</v>
      </c>
      <c r="D115"/>
      <c r="E115"/>
    </row>
    <row r="116" spans="1:5" ht="15.75">
      <c r="B116" s="603" t="s">
        <v>441</v>
      </c>
      <c r="C116" s="604" t="s">
        <v>762</v>
      </c>
      <c r="D116"/>
      <c r="E116"/>
    </row>
    <row r="117" spans="1:5" ht="15.75">
      <c r="A117" s="428" t="s">
        <v>1022</v>
      </c>
      <c r="B117" s="603" t="s">
        <v>1083</v>
      </c>
      <c r="C117" s="604" t="s">
        <v>1084</v>
      </c>
      <c r="D117"/>
      <c r="E117"/>
    </row>
    <row r="118" spans="1:5" ht="15.75">
      <c r="B118" s="603" t="s">
        <v>442</v>
      </c>
      <c r="C118" s="604" t="s">
        <v>443</v>
      </c>
      <c r="D118"/>
      <c r="E118"/>
    </row>
    <row r="119" spans="1:5" ht="15.75">
      <c r="B119" s="603" t="s">
        <v>444</v>
      </c>
      <c r="C119" s="604" t="s">
        <v>1159</v>
      </c>
      <c r="D119"/>
      <c r="E119"/>
    </row>
    <row r="120" spans="1:5" ht="15.75">
      <c r="B120" s="601" t="s">
        <v>445</v>
      </c>
      <c r="C120" s="602" t="s">
        <v>446</v>
      </c>
      <c r="D120"/>
      <c r="E120"/>
    </row>
    <row r="121" spans="1:5" ht="15.75">
      <c r="B121" s="603" t="s">
        <v>447</v>
      </c>
      <c r="C121" s="604" t="s">
        <v>448</v>
      </c>
      <c r="D121"/>
      <c r="E121"/>
    </row>
    <row r="122" spans="1:5" ht="15.75">
      <c r="B122" s="603" t="s">
        <v>449</v>
      </c>
      <c r="C122" s="604" t="s">
        <v>450</v>
      </c>
      <c r="D122"/>
      <c r="E122"/>
    </row>
    <row r="123" spans="1:5" ht="15.75">
      <c r="B123" s="601" t="s">
        <v>763</v>
      </c>
      <c r="C123" s="602" t="s">
        <v>764</v>
      </c>
      <c r="D123"/>
      <c r="E123"/>
    </row>
    <row r="124" spans="1:5" ht="15.75">
      <c r="B124" s="603" t="s">
        <v>765</v>
      </c>
      <c r="C124" s="607" t="s">
        <v>766</v>
      </c>
      <c r="D124"/>
      <c r="E124"/>
    </row>
    <row r="125" spans="1:5" ht="15.75">
      <c r="B125" s="603" t="s">
        <v>767</v>
      </c>
      <c r="C125" s="607" t="s">
        <v>768</v>
      </c>
      <c r="D125"/>
      <c r="E125"/>
    </row>
    <row r="126" spans="1:5" ht="15.75">
      <c r="B126" s="603" t="s">
        <v>769</v>
      </c>
      <c r="C126" s="604" t="s">
        <v>770</v>
      </c>
      <c r="D126"/>
      <c r="E126"/>
    </row>
    <row r="127" spans="1:5" ht="15.75">
      <c r="B127" s="603" t="s">
        <v>771</v>
      </c>
      <c r="C127" s="607" t="s">
        <v>772</v>
      </c>
      <c r="D127"/>
      <c r="E127"/>
    </row>
    <row r="128" spans="1:5" ht="15.75">
      <c r="B128" s="601" t="s">
        <v>451</v>
      </c>
      <c r="C128" s="602" t="s">
        <v>452</v>
      </c>
      <c r="D128"/>
      <c r="E128"/>
    </row>
    <row r="129" spans="2:5" ht="15.75">
      <c r="B129" s="603" t="s">
        <v>453</v>
      </c>
      <c r="C129" s="604" t="s">
        <v>454</v>
      </c>
      <c r="D129"/>
      <c r="E129"/>
    </row>
    <row r="130" spans="2:5" ht="15.75">
      <c r="B130" s="603" t="s">
        <v>1085</v>
      </c>
      <c r="C130" s="604" t="s">
        <v>1086</v>
      </c>
      <c r="D130"/>
      <c r="E130"/>
    </row>
    <row r="131" spans="2:5" ht="15.75">
      <c r="B131" s="608" t="s">
        <v>455</v>
      </c>
      <c r="C131" s="604" t="s">
        <v>456</v>
      </c>
      <c r="D131"/>
      <c r="E131"/>
    </row>
    <row r="132" spans="2:5" ht="15.75">
      <c r="B132" s="603" t="s">
        <v>457</v>
      </c>
      <c r="C132" s="604" t="s">
        <v>458</v>
      </c>
      <c r="D132"/>
      <c r="E132"/>
    </row>
    <row r="133" spans="2:5" ht="15.75">
      <c r="B133" s="603" t="s">
        <v>459</v>
      </c>
      <c r="C133" s="604" t="s">
        <v>460</v>
      </c>
      <c r="D133"/>
      <c r="E133"/>
    </row>
    <row r="134" spans="2:5" ht="15.75">
      <c r="B134" s="603" t="s">
        <v>461</v>
      </c>
      <c r="C134" s="604" t="s">
        <v>462</v>
      </c>
      <c r="D134"/>
      <c r="E134"/>
    </row>
    <row r="135" spans="2:5" ht="15.75">
      <c r="B135" s="603" t="s">
        <v>18</v>
      </c>
      <c r="C135" s="604" t="s">
        <v>19</v>
      </c>
      <c r="D135"/>
      <c r="E135"/>
    </row>
    <row r="136" spans="2:5" ht="15.75">
      <c r="B136" s="603" t="s">
        <v>463</v>
      </c>
      <c r="C136" s="604" t="s">
        <v>464</v>
      </c>
      <c r="D136"/>
      <c r="E136"/>
    </row>
    <row r="137" spans="2:5" ht="15.75">
      <c r="B137" s="609">
        <v>3</v>
      </c>
      <c r="C137" s="606" t="s">
        <v>283</v>
      </c>
      <c r="D137"/>
      <c r="E137"/>
    </row>
    <row r="138" spans="2:5" ht="15.75">
      <c r="B138" s="601" t="s">
        <v>773</v>
      </c>
      <c r="C138" s="602" t="s">
        <v>774</v>
      </c>
      <c r="D138"/>
      <c r="E138"/>
    </row>
    <row r="139" spans="2:5" ht="15.75">
      <c r="B139" s="603" t="s">
        <v>775</v>
      </c>
      <c r="C139" s="607" t="s">
        <v>776</v>
      </c>
      <c r="D139"/>
      <c r="E139"/>
    </row>
    <row r="140" spans="2:5" ht="15.75">
      <c r="B140" s="603" t="s">
        <v>777</v>
      </c>
      <c r="C140" s="607" t="s">
        <v>778</v>
      </c>
      <c r="D140"/>
      <c r="E140"/>
    </row>
    <row r="141" spans="2:5" ht="15.75">
      <c r="B141" s="603" t="s">
        <v>779</v>
      </c>
      <c r="C141" s="607" t="s">
        <v>780</v>
      </c>
      <c r="D141"/>
      <c r="E141"/>
    </row>
    <row r="142" spans="2:5" ht="15.75">
      <c r="B142" s="603" t="s">
        <v>781</v>
      </c>
      <c r="C142" s="607" t="s">
        <v>782</v>
      </c>
      <c r="D142"/>
      <c r="E142"/>
    </row>
    <row r="143" spans="2:5" ht="15.75">
      <c r="B143" s="601" t="s">
        <v>466</v>
      </c>
      <c r="C143" s="610" t="s">
        <v>467</v>
      </c>
      <c r="D143"/>
      <c r="E143"/>
    </row>
    <row r="144" spans="2:5" ht="15.75">
      <c r="B144" s="603" t="s">
        <v>783</v>
      </c>
      <c r="C144" s="604" t="s">
        <v>784</v>
      </c>
      <c r="D144"/>
      <c r="E144"/>
    </row>
    <row r="145" spans="2:5" ht="15.75">
      <c r="B145" s="603" t="s">
        <v>785</v>
      </c>
      <c r="C145" s="604" t="s">
        <v>786</v>
      </c>
      <c r="D145"/>
      <c r="E145"/>
    </row>
    <row r="146" spans="2:5" ht="26.25">
      <c r="B146" s="603" t="s">
        <v>468</v>
      </c>
      <c r="C146" s="604" t="s">
        <v>787</v>
      </c>
      <c r="D146"/>
      <c r="E146"/>
    </row>
    <row r="147" spans="2:5" ht="15.75">
      <c r="B147" s="603" t="s">
        <v>788</v>
      </c>
      <c r="C147" s="604" t="s">
        <v>789</v>
      </c>
      <c r="D147"/>
      <c r="E147"/>
    </row>
    <row r="148" spans="2:5" ht="15.75">
      <c r="B148" s="603" t="s">
        <v>790</v>
      </c>
      <c r="C148" s="604" t="s">
        <v>791</v>
      </c>
      <c r="D148"/>
      <c r="E148"/>
    </row>
    <row r="149" spans="2:5" ht="15.75">
      <c r="B149" s="603" t="s">
        <v>469</v>
      </c>
      <c r="C149" s="604" t="s">
        <v>792</v>
      </c>
      <c r="D149"/>
      <c r="E149"/>
    </row>
    <row r="150" spans="2:5" ht="15.75">
      <c r="B150" s="603" t="s">
        <v>793</v>
      </c>
      <c r="C150" s="604" t="s">
        <v>794</v>
      </c>
      <c r="D150"/>
      <c r="E150"/>
    </row>
    <row r="151" spans="2:5" ht="15.75">
      <c r="B151" s="603" t="s">
        <v>795</v>
      </c>
      <c r="C151" s="607" t="s">
        <v>796</v>
      </c>
      <c r="D151"/>
      <c r="E151"/>
    </row>
    <row r="152" spans="2:5" ht="15.75">
      <c r="B152" s="601" t="s">
        <v>797</v>
      </c>
      <c r="C152" s="610" t="s">
        <v>798</v>
      </c>
      <c r="D152"/>
      <c r="E152"/>
    </row>
    <row r="153" spans="2:5" ht="15.75">
      <c r="B153" s="603" t="s">
        <v>799</v>
      </c>
      <c r="C153" s="604" t="s">
        <v>800</v>
      </c>
      <c r="D153"/>
      <c r="E153"/>
    </row>
    <row r="154" spans="2:5" ht="15.75">
      <c r="B154" s="603" t="s">
        <v>801</v>
      </c>
      <c r="C154" s="604" t="s">
        <v>1160</v>
      </c>
      <c r="D154"/>
      <c r="E154"/>
    </row>
    <row r="155" spans="2:5" ht="15.75">
      <c r="B155" s="601" t="s">
        <v>1161</v>
      </c>
      <c r="C155" s="602" t="s">
        <v>644</v>
      </c>
      <c r="D155"/>
      <c r="E155"/>
    </row>
    <row r="156" spans="2:5" ht="15.75">
      <c r="B156" s="603" t="s">
        <v>802</v>
      </c>
      <c r="C156" s="607" t="s">
        <v>803</v>
      </c>
      <c r="D156"/>
      <c r="E156"/>
    </row>
    <row r="157" spans="2:5" ht="15.75">
      <c r="B157" s="603" t="s">
        <v>804</v>
      </c>
      <c r="C157" s="607" t="s">
        <v>805</v>
      </c>
      <c r="D157"/>
      <c r="E157"/>
    </row>
    <row r="158" spans="2:5" ht="15.75">
      <c r="B158" s="603" t="s">
        <v>645</v>
      </c>
      <c r="C158" s="607" t="s">
        <v>806</v>
      </c>
      <c r="D158"/>
      <c r="E158"/>
    </row>
    <row r="159" spans="2:5" ht="15.75">
      <c r="B159" s="603" t="s">
        <v>807</v>
      </c>
      <c r="C159" s="607" t="s">
        <v>808</v>
      </c>
      <c r="D159"/>
      <c r="E159"/>
    </row>
    <row r="160" spans="2:5" ht="15.75">
      <c r="B160" s="603" t="s">
        <v>809</v>
      </c>
      <c r="C160" s="607" t="s">
        <v>810</v>
      </c>
      <c r="D160"/>
      <c r="E160"/>
    </row>
    <row r="161" spans="2:5" ht="15.75">
      <c r="B161" s="605">
        <v>4</v>
      </c>
      <c r="C161" s="606" t="s">
        <v>811</v>
      </c>
      <c r="D161"/>
      <c r="E161"/>
    </row>
    <row r="162" spans="2:5" ht="15.75">
      <c r="B162" s="601" t="s">
        <v>812</v>
      </c>
      <c r="C162" s="610" t="s">
        <v>813</v>
      </c>
      <c r="D162"/>
      <c r="E162"/>
    </row>
    <row r="163" spans="2:5" ht="15.75">
      <c r="B163" s="603" t="s">
        <v>814</v>
      </c>
      <c r="C163" s="604" t="s">
        <v>815</v>
      </c>
      <c r="D163"/>
      <c r="E163"/>
    </row>
    <row r="164" spans="2:5" ht="15.75">
      <c r="B164" s="603" t="s">
        <v>816</v>
      </c>
      <c r="C164" s="604" t="s">
        <v>817</v>
      </c>
      <c r="D164"/>
      <c r="E164"/>
    </row>
    <row r="165" spans="2:5" ht="15.75">
      <c r="B165" s="603" t="s">
        <v>818</v>
      </c>
      <c r="C165" s="604" t="s">
        <v>819</v>
      </c>
      <c r="D165"/>
      <c r="E165"/>
    </row>
    <row r="166" spans="2:5" ht="15.75">
      <c r="B166" s="603" t="s">
        <v>820</v>
      </c>
      <c r="C166" s="604" t="s">
        <v>821</v>
      </c>
      <c r="D166"/>
      <c r="E166"/>
    </row>
    <row r="167" spans="2:5" ht="15.75">
      <c r="B167" s="603" t="s">
        <v>822</v>
      </c>
      <c r="C167" s="604" t="s">
        <v>823</v>
      </c>
      <c r="D167"/>
      <c r="E167"/>
    </row>
    <row r="168" spans="2:5" ht="15.75">
      <c r="B168" s="603" t="s">
        <v>824</v>
      </c>
      <c r="C168" s="604" t="s">
        <v>825</v>
      </c>
      <c r="D168"/>
      <c r="E168"/>
    </row>
    <row r="169" spans="2:5" ht="15.75">
      <c r="B169" s="603" t="s">
        <v>826</v>
      </c>
      <c r="C169" s="604" t="s">
        <v>827</v>
      </c>
      <c r="D169"/>
      <c r="E169"/>
    </row>
    <row r="170" spans="2:5" ht="15.75">
      <c r="B170" s="603" t="s">
        <v>828</v>
      </c>
      <c r="C170" s="604" t="s">
        <v>829</v>
      </c>
      <c r="D170"/>
      <c r="E170"/>
    </row>
    <row r="171" spans="2:5" ht="15.75">
      <c r="B171" s="601" t="s">
        <v>830</v>
      </c>
      <c r="C171" s="610" t="s">
        <v>831</v>
      </c>
      <c r="D171"/>
      <c r="E171"/>
    </row>
    <row r="172" spans="2:5" ht="15.75">
      <c r="B172" s="603" t="s">
        <v>832</v>
      </c>
      <c r="C172" s="604" t="s">
        <v>833</v>
      </c>
      <c r="D172"/>
      <c r="E172"/>
    </row>
    <row r="173" spans="2:5" ht="15.75">
      <c r="B173" s="603" t="s">
        <v>834</v>
      </c>
      <c r="C173" s="604" t="s">
        <v>835</v>
      </c>
      <c r="D173"/>
      <c r="E173"/>
    </row>
    <row r="174" spans="2:5" ht="15.75">
      <c r="B174" s="603" t="s">
        <v>836</v>
      </c>
      <c r="C174" s="604" t="s">
        <v>837</v>
      </c>
      <c r="D174"/>
      <c r="E174"/>
    </row>
    <row r="175" spans="2:5" ht="15.75">
      <c r="B175" s="603" t="s">
        <v>838</v>
      </c>
      <c r="C175" s="604" t="s">
        <v>839</v>
      </c>
      <c r="D175"/>
      <c r="E175"/>
    </row>
    <row r="176" spans="2:5" ht="15.75">
      <c r="B176" s="603" t="s">
        <v>840</v>
      </c>
      <c r="C176" s="604" t="s">
        <v>841</v>
      </c>
      <c r="D176"/>
      <c r="E176"/>
    </row>
    <row r="177" spans="2:5" ht="15.75">
      <c r="B177" s="603" t="s">
        <v>842</v>
      </c>
      <c r="C177" s="604" t="s">
        <v>843</v>
      </c>
      <c r="D177"/>
      <c r="E177"/>
    </row>
    <row r="178" spans="2:5" ht="15.75">
      <c r="B178" s="603" t="s">
        <v>844</v>
      </c>
      <c r="C178" s="604" t="s">
        <v>845</v>
      </c>
      <c r="D178"/>
      <c r="E178"/>
    </row>
    <row r="179" spans="2:5" ht="15.75">
      <c r="B179" s="603" t="s">
        <v>846</v>
      </c>
      <c r="C179" s="604" t="s">
        <v>847</v>
      </c>
      <c r="D179"/>
      <c r="E179"/>
    </row>
    <row r="180" spans="2:5" ht="15.75">
      <c r="B180" s="601" t="s">
        <v>848</v>
      </c>
      <c r="C180" s="610" t="s">
        <v>849</v>
      </c>
      <c r="D180"/>
      <c r="E180"/>
    </row>
    <row r="181" spans="2:5" ht="15.75">
      <c r="B181" s="603" t="s">
        <v>850</v>
      </c>
      <c r="C181" s="604" t="s">
        <v>851</v>
      </c>
      <c r="D181"/>
      <c r="E181"/>
    </row>
    <row r="182" spans="2:5" ht="15.75">
      <c r="B182" s="603" t="s">
        <v>852</v>
      </c>
      <c r="C182" s="604" t="s">
        <v>853</v>
      </c>
      <c r="D182"/>
      <c r="E182"/>
    </row>
    <row r="183" spans="2:5" ht="15.75">
      <c r="B183" s="609">
        <v>5</v>
      </c>
      <c r="C183" s="611" t="s">
        <v>284</v>
      </c>
      <c r="D183"/>
      <c r="E183"/>
    </row>
    <row r="184" spans="2:5" ht="15.75">
      <c r="B184" s="601" t="s">
        <v>470</v>
      </c>
      <c r="C184" s="602" t="s">
        <v>471</v>
      </c>
      <c r="D184"/>
      <c r="E184"/>
    </row>
    <row r="185" spans="2:5" ht="15.75">
      <c r="B185" s="603" t="s">
        <v>472</v>
      </c>
      <c r="C185" s="604" t="s">
        <v>473</v>
      </c>
      <c r="D185"/>
      <c r="E185"/>
    </row>
    <row r="186" spans="2:5" ht="15.75">
      <c r="B186" s="603" t="s">
        <v>474</v>
      </c>
      <c r="C186" s="604" t="s">
        <v>475</v>
      </c>
      <c r="D186"/>
      <c r="E186"/>
    </row>
    <row r="187" spans="2:5" ht="15.75">
      <c r="B187" s="603" t="s">
        <v>476</v>
      </c>
      <c r="C187" s="604" t="s">
        <v>477</v>
      </c>
      <c r="D187"/>
      <c r="E187"/>
    </row>
    <row r="188" spans="2:5" ht="15.75">
      <c r="B188" s="603" t="s">
        <v>478</v>
      </c>
      <c r="C188" s="604" t="s">
        <v>479</v>
      </c>
      <c r="D188"/>
      <c r="E188"/>
    </row>
    <row r="189" spans="2:5" ht="15.75">
      <c r="B189" s="603" t="s">
        <v>480</v>
      </c>
      <c r="C189" s="604" t="s">
        <v>481</v>
      </c>
      <c r="D189"/>
      <c r="E189"/>
    </row>
    <row r="190" spans="2:5" ht="15.75">
      <c r="B190" s="603" t="s">
        <v>854</v>
      </c>
      <c r="C190" s="604" t="s">
        <v>855</v>
      </c>
      <c r="D190"/>
      <c r="E190"/>
    </row>
    <row r="191" spans="2:5" ht="15.75">
      <c r="B191" s="603" t="s">
        <v>482</v>
      </c>
      <c r="C191" s="604" t="s">
        <v>483</v>
      </c>
      <c r="D191"/>
      <c r="E191"/>
    </row>
    <row r="192" spans="2:5" ht="15.75">
      <c r="B192" s="603" t="s">
        <v>484</v>
      </c>
      <c r="C192" s="604" t="s">
        <v>1162</v>
      </c>
      <c r="D192"/>
      <c r="E192"/>
    </row>
    <row r="193" spans="2:5" ht="15.75">
      <c r="B193" s="601" t="s">
        <v>1087</v>
      </c>
      <c r="C193" s="602" t="s">
        <v>1088</v>
      </c>
      <c r="D193"/>
      <c r="E193"/>
    </row>
    <row r="194" spans="2:5" ht="15.75">
      <c r="B194" s="603" t="s">
        <v>8</v>
      </c>
      <c r="C194" s="607" t="s">
        <v>9</v>
      </c>
      <c r="D194"/>
      <c r="E194"/>
    </row>
    <row r="195" spans="2:5" ht="15.75">
      <c r="B195" s="603" t="s">
        <v>1091</v>
      </c>
      <c r="C195" s="607" t="s">
        <v>1089</v>
      </c>
      <c r="D195"/>
      <c r="E195"/>
    </row>
    <row r="196" spans="2:5" ht="15.75">
      <c r="B196" s="603" t="s">
        <v>856</v>
      </c>
      <c r="C196" s="607" t="s">
        <v>857</v>
      </c>
      <c r="D196"/>
      <c r="E196"/>
    </row>
    <row r="197" spans="2:5" ht="15.75">
      <c r="B197" s="603" t="s">
        <v>858</v>
      </c>
      <c r="C197" s="607" t="s">
        <v>859</v>
      </c>
      <c r="D197"/>
      <c r="E197"/>
    </row>
    <row r="198" spans="2:5" ht="15.75">
      <c r="B198" s="603" t="s">
        <v>860</v>
      </c>
      <c r="C198" s="607" t="s">
        <v>861</v>
      </c>
      <c r="D198"/>
      <c r="E198"/>
    </row>
    <row r="199" spans="2:5" ht="15.75">
      <c r="B199" s="603" t="s">
        <v>862</v>
      </c>
      <c r="C199" s="607" t="s">
        <v>863</v>
      </c>
      <c r="D199"/>
      <c r="E199"/>
    </row>
    <row r="200" spans="2:5" ht="15.75">
      <c r="B200" s="603" t="s">
        <v>864</v>
      </c>
      <c r="C200" s="607" t="s">
        <v>865</v>
      </c>
      <c r="D200"/>
      <c r="E200"/>
    </row>
    <row r="201" spans="2:5" ht="15.75">
      <c r="B201" s="603" t="s">
        <v>1090</v>
      </c>
      <c r="C201" s="607" t="s">
        <v>866</v>
      </c>
      <c r="D201"/>
      <c r="E201"/>
    </row>
    <row r="202" spans="2:5" ht="15.75">
      <c r="B202" s="601" t="s">
        <v>1155</v>
      </c>
      <c r="C202" s="602" t="s">
        <v>646</v>
      </c>
      <c r="D202"/>
      <c r="E202"/>
    </row>
    <row r="203" spans="2:5" ht="15.75">
      <c r="B203" s="603" t="s">
        <v>647</v>
      </c>
      <c r="C203" s="607" t="s">
        <v>648</v>
      </c>
      <c r="D203"/>
      <c r="E203"/>
    </row>
    <row r="204" spans="2:5" ht="15.75">
      <c r="B204" s="603" t="s">
        <v>867</v>
      </c>
      <c r="C204" s="607" t="s">
        <v>868</v>
      </c>
      <c r="D204"/>
      <c r="E204"/>
    </row>
    <row r="205" spans="2:5" ht="15.75">
      <c r="B205" s="603" t="s">
        <v>869</v>
      </c>
      <c r="C205" s="607" t="s">
        <v>870</v>
      </c>
      <c r="D205"/>
      <c r="E205"/>
    </row>
    <row r="206" spans="2:5" ht="15.75">
      <c r="B206" s="601" t="s">
        <v>871</v>
      </c>
      <c r="C206" s="602" t="s">
        <v>872</v>
      </c>
      <c r="D206"/>
      <c r="E206"/>
    </row>
    <row r="207" spans="2:5" ht="15.75">
      <c r="B207" s="603" t="s">
        <v>873</v>
      </c>
      <c r="C207" s="607" t="s">
        <v>874</v>
      </c>
      <c r="D207"/>
      <c r="E207"/>
    </row>
    <row r="208" spans="2:5" ht="15.75">
      <c r="B208" s="603" t="s">
        <v>875</v>
      </c>
      <c r="C208" s="607" t="s">
        <v>876</v>
      </c>
      <c r="D208"/>
      <c r="E208"/>
    </row>
    <row r="209" spans="2:5" ht="15.75">
      <c r="B209" s="603" t="s">
        <v>877</v>
      </c>
      <c r="C209" s="607" t="s">
        <v>878</v>
      </c>
      <c r="D209"/>
      <c r="E209"/>
    </row>
    <row r="210" spans="2:5" ht="15.75">
      <c r="B210" s="603" t="s">
        <v>879</v>
      </c>
      <c r="C210" s="607" t="s">
        <v>880</v>
      </c>
      <c r="D210"/>
      <c r="E210"/>
    </row>
    <row r="211" spans="2:5" ht="15.75">
      <c r="B211" s="605">
        <v>6</v>
      </c>
      <c r="C211" s="606" t="s">
        <v>52</v>
      </c>
      <c r="D211"/>
      <c r="E211"/>
    </row>
    <row r="212" spans="2:5" ht="15.75">
      <c r="B212" s="601" t="s">
        <v>485</v>
      </c>
      <c r="C212" s="602" t="s">
        <v>881</v>
      </c>
      <c r="D212"/>
      <c r="E212"/>
    </row>
    <row r="213" spans="2:5" ht="15.75">
      <c r="B213" s="603" t="s">
        <v>486</v>
      </c>
      <c r="C213" s="604" t="s">
        <v>882</v>
      </c>
      <c r="D213"/>
      <c r="E213"/>
    </row>
    <row r="214" spans="2:5" ht="15.75">
      <c r="B214" s="603" t="s">
        <v>487</v>
      </c>
      <c r="C214" s="604" t="s">
        <v>883</v>
      </c>
      <c r="D214"/>
      <c r="E214"/>
    </row>
    <row r="215" spans="2:5" ht="26.25">
      <c r="B215" s="603" t="s">
        <v>488</v>
      </c>
      <c r="C215" s="604" t="s">
        <v>884</v>
      </c>
      <c r="D215"/>
      <c r="E215"/>
    </row>
    <row r="216" spans="2:5" ht="15.75">
      <c r="B216" s="603" t="s">
        <v>489</v>
      </c>
      <c r="C216" s="604" t="s">
        <v>885</v>
      </c>
      <c r="D216"/>
      <c r="E216"/>
    </row>
    <row r="217" spans="2:5" ht="15.75">
      <c r="B217" s="603" t="s">
        <v>886</v>
      </c>
      <c r="C217" s="604" t="s">
        <v>887</v>
      </c>
      <c r="D217"/>
      <c r="E217"/>
    </row>
    <row r="218" spans="2:5" ht="15.75">
      <c r="B218" s="603" t="s">
        <v>888</v>
      </c>
      <c r="C218" s="604" t="s">
        <v>889</v>
      </c>
      <c r="D218"/>
      <c r="E218"/>
    </row>
    <row r="219" spans="2:5" ht="15.75">
      <c r="B219" s="603" t="s">
        <v>890</v>
      </c>
      <c r="C219" s="604" t="s">
        <v>891</v>
      </c>
      <c r="D219"/>
      <c r="E219"/>
    </row>
    <row r="220" spans="2:5" ht="15.75">
      <c r="B220" s="603" t="s">
        <v>892</v>
      </c>
      <c r="C220" s="604" t="s">
        <v>893</v>
      </c>
      <c r="D220"/>
      <c r="E220"/>
    </row>
    <row r="221" spans="2:5" ht="15.75">
      <c r="B221" s="603" t="s">
        <v>894</v>
      </c>
      <c r="C221" s="604" t="s">
        <v>1163</v>
      </c>
      <c r="D221"/>
      <c r="E221"/>
    </row>
    <row r="222" spans="2:5" ht="15.75">
      <c r="B222" s="601" t="s">
        <v>490</v>
      </c>
      <c r="C222" s="602" t="s">
        <v>895</v>
      </c>
      <c r="D222"/>
      <c r="E222"/>
    </row>
    <row r="223" spans="2:5" ht="15.75">
      <c r="B223" s="603" t="s">
        <v>491</v>
      </c>
      <c r="C223" s="604" t="s">
        <v>492</v>
      </c>
      <c r="D223"/>
      <c r="E223"/>
    </row>
    <row r="224" spans="2:5" ht="15.75">
      <c r="B224" s="603" t="s">
        <v>896</v>
      </c>
      <c r="C224" s="604" t="s">
        <v>897</v>
      </c>
      <c r="D224"/>
      <c r="E224"/>
    </row>
    <row r="225" spans="2:5" ht="15.75">
      <c r="B225" s="603" t="s">
        <v>493</v>
      </c>
      <c r="C225" s="604" t="s">
        <v>898</v>
      </c>
      <c r="D225"/>
      <c r="E225"/>
    </row>
    <row r="226" spans="2:5" ht="15.75">
      <c r="B226" s="603" t="s">
        <v>899</v>
      </c>
      <c r="C226" s="607" t="s">
        <v>900</v>
      </c>
      <c r="D226"/>
      <c r="E226"/>
    </row>
    <row r="227" spans="2:5" ht="15.75">
      <c r="B227" s="601" t="s">
        <v>494</v>
      </c>
      <c r="C227" s="602" t="s">
        <v>495</v>
      </c>
      <c r="D227"/>
      <c r="E227"/>
    </row>
    <row r="228" spans="2:5" ht="15.75">
      <c r="B228" s="603" t="s">
        <v>496</v>
      </c>
      <c r="C228" s="604" t="s">
        <v>59</v>
      </c>
      <c r="D228"/>
      <c r="E228"/>
    </row>
    <row r="229" spans="2:5" ht="15.75">
      <c r="B229" s="603" t="s">
        <v>901</v>
      </c>
      <c r="C229" s="604" t="s">
        <v>902</v>
      </c>
      <c r="D229"/>
      <c r="E229"/>
    </row>
    <row r="230" spans="2:5" ht="15.75">
      <c r="B230" s="603" t="s">
        <v>903</v>
      </c>
      <c r="C230" s="604" t="s">
        <v>904</v>
      </c>
      <c r="D230"/>
      <c r="E230"/>
    </row>
    <row r="231" spans="2:5" ht="15.75">
      <c r="B231" s="603" t="s">
        <v>905</v>
      </c>
      <c r="C231" s="604" t="s">
        <v>1164</v>
      </c>
      <c r="D231"/>
      <c r="E231"/>
    </row>
    <row r="232" spans="2:5" ht="15.75">
      <c r="B232" s="603" t="s">
        <v>906</v>
      </c>
      <c r="C232" s="604" t="s">
        <v>907</v>
      </c>
      <c r="D232"/>
      <c r="E232"/>
    </row>
    <row r="233" spans="2:5" ht="15.75">
      <c r="B233" s="603" t="s">
        <v>908</v>
      </c>
      <c r="C233" s="607" t="s">
        <v>1165</v>
      </c>
      <c r="D233"/>
      <c r="E233"/>
    </row>
    <row r="234" spans="2:5" ht="26.25">
      <c r="B234" s="601" t="s">
        <v>497</v>
      </c>
      <c r="C234" s="602" t="s">
        <v>26</v>
      </c>
      <c r="D234"/>
      <c r="E234"/>
    </row>
    <row r="235" spans="2:5" ht="15.75">
      <c r="B235" s="603" t="s">
        <v>498</v>
      </c>
      <c r="C235" s="604" t="s">
        <v>909</v>
      </c>
      <c r="D235"/>
      <c r="E235"/>
    </row>
    <row r="236" spans="2:5" ht="15.75">
      <c r="B236" s="603" t="s">
        <v>910</v>
      </c>
      <c r="C236" s="607" t="s">
        <v>911</v>
      </c>
      <c r="D236"/>
      <c r="E236"/>
    </row>
    <row r="237" spans="2:5" ht="15.75">
      <c r="B237" s="603" t="s">
        <v>912</v>
      </c>
      <c r="C237" s="607" t="s">
        <v>913</v>
      </c>
      <c r="D237"/>
      <c r="E237"/>
    </row>
    <row r="238" spans="2:5" ht="15.75">
      <c r="B238" s="603" t="s">
        <v>914</v>
      </c>
      <c r="C238" s="607" t="s">
        <v>915</v>
      </c>
      <c r="D238"/>
      <c r="E238"/>
    </row>
    <row r="239" spans="2:5" ht="15.75">
      <c r="B239" s="601" t="s">
        <v>916</v>
      </c>
      <c r="C239" s="602" t="s">
        <v>917</v>
      </c>
      <c r="D239"/>
      <c r="E239"/>
    </row>
    <row r="240" spans="2:5" ht="15.75">
      <c r="B240" s="603" t="s">
        <v>918</v>
      </c>
      <c r="C240" s="607" t="s">
        <v>919</v>
      </c>
      <c r="D240"/>
      <c r="E240"/>
    </row>
    <row r="241" spans="2:5" ht="15.75">
      <c r="B241" s="601" t="s">
        <v>920</v>
      </c>
      <c r="C241" s="602" t="s">
        <v>921</v>
      </c>
      <c r="D241"/>
      <c r="E241"/>
    </row>
    <row r="242" spans="2:5" ht="15.75">
      <c r="B242" s="603" t="s">
        <v>922</v>
      </c>
      <c r="C242" s="604" t="s">
        <v>923</v>
      </c>
      <c r="D242"/>
      <c r="E242"/>
    </row>
    <row r="243" spans="2:5" ht="15.75">
      <c r="B243" s="603" t="s">
        <v>924</v>
      </c>
      <c r="C243" s="604" t="s">
        <v>925</v>
      </c>
      <c r="D243"/>
      <c r="E243"/>
    </row>
    <row r="244" spans="2:5" ht="15.75">
      <c r="B244" s="601" t="s">
        <v>926</v>
      </c>
      <c r="C244" s="602" t="s">
        <v>927</v>
      </c>
      <c r="D244"/>
      <c r="E244"/>
    </row>
    <row r="245" spans="2:5" ht="15.75">
      <c r="B245" s="603" t="s">
        <v>928</v>
      </c>
      <c r="C245" s="607" t="s">
        <v>929</v>
      </c>
      <c r="D245"/>
      <c r="E245"/>
    </row>
    <row r="246" spans="2:5" ht="15.75">
      <c r="B246" s="603" t="s">
        <v>930</v>
      </c>
      <c r="C246" s="607" t="s">
        <v>931</v>
      </c>
      <c r="D246"/>
      <c r="E246"/>
    </row>
    <row r="247" spans="2:5" ht="15.75">
      <c r="B247" s="605">
        <v>7</v>
      </c>
      <c r="C247" s="606" t="s">
        <v>54</v>
      </c>
      <c r="D247"/>
      <c r="E247"/>
    </row>
    <row r="248" spans="2:5" ht="15.75">
      <c r="B248" s="601" t="s">
        <v>499</v>
      </c>
      <c r="C248" s="610" t="s">
        <v>500</v>
      </c>
      <c r="D248"/>
      <c r="E248"/>
    </row>
    <row r="249" spans="2:5" ht="15.75">
      <c r="B249" s="603" t="s">
        <v>932</v>
      </c>
      <c r="C249" s="604" t="s">
        <v>933</v>
      </c>
      <c r="D249"/>
      <c r="E249"/>
    </row>
    <row r="250" spans="2:5" ht="15.75">
      <c r="B250" s="603" t="s">
        <v>501</v>
      </c>
      <c r="C250" s="604" t="s">
        <v>934</v>
      </c>
      <c r="D250"/>
      <c r="E250"/>
    </row>
    <row r="251" spans="2:5" ht="15.75">
      <c r="B251" s="603" t="s">
        <v>502</v>
      </c>
      <c r="C251" s="604" t="s">
        <v>935</v>
      </c>
      <c r="D251"/>
      <c r="E251"/>
    </row>
    <row r="252" spans="2:5" ht="15.75">
      <c r="B252" s="603" t="s">
        <v>936</v>
      </c>
      <c r="C252" s="604" t="s">
        <v>937</v>
      </c>
      <c r="D252"/>
      <c r="E252"/>
    </row>
    <row r="253" spans="2:5" ht="15.75">
      <c r="B253" s="603" t="s">
        <v>938</v>
      </c>
      <c r="C253" s="604" t="s">
        <v>939</v>
      </c>
      <c r="D253"/>
      <c r="E253"/>
    </row>
    <row r="254" spans="2:5" ht="15.75">
      <c r="B254" s="603" t="s">
        <v>940</v>
      </c>
      <c r="C254" s="604" t="s">
        <v>941</v>
      </c>
      <c r="D254"/>
      <c r="E254"/>
    </row>
    <row r="255" spans="2:5" ht="15.75">
      <c r="B255" s="603" t="s">
        <v>503</v>
      </c>
      <c r="C255" s="604" t="s">
        <v>942</v>
      </c>
      <c r="D255"/>
      <c r="E255"/>
    </row>
    <row r="256" spans="2:5" ht="15.75">
      <c r="B256" s="601" t="s">
        <v>943</v>
      </c>
      <c r="C256" s="610" t="s">
        <v>944</v>
      </c>
      <c r="D256"/>
      <c r="E256"/>
    </row>
    <row r="257" spans="2:5" ht="15.75">
      <c r="B257" s="603" t="s">
        <v>945</v>
      </c>
      <c r="C257" s="604" t="s">
        <v>946</v>
      </c>
      <c r="D257"/>
      <c r="E257"/>
    </row>
    <row r="258" spans="2:5" ht="26.25">
      <c r="B258" s="601" t="s">
        <v>27</v>
      </c>
      <c r="C258" s="610" t="s">
        <v>28</v>
      </c>
      <c r="D258"/>
      <c r="E258"/>
    </row>
    <row r="259" spans="2:5" ht="15.75">
      <c r="B259" s="603" t="s">
        <v>947</v>
      </c>
      <c r="C259" s="604" t="s">
        <v>948</v>
      </c>
      <c r="D259"/>
      <c r="E259"/>
    </row>
    <row r="260" spans="2:5" ht="15.75">
      <c r="B260" s="603" t="s">
        <v>949</v>
      </c>
      <c r="C260" s="604" t="s">
        <v>950</v>
      </c>
      <c r="D260"/>
      <c r="E260"/>
    </row>
    <row r="261" spans="2:5" ht="15.75">
      <c r="B261" s="603" t="s">
        <v>951</v>
      </c>
      <c r="C261" s="604" t="s">
        <v>952</v>
      </c>
      <c r="D261"/>
      <c r="E261"/>
    </row>
    <row r="262" spans="2:5" ht="15.75">
      <c r="B262" s="603" t="s">
        <v>953</v>
      </c>
      <c r="C262" s="604" t="s">
        <v>954</v>
      </c>
      <c r="D262"/>
      <c r="E262"/>
    </row>
    <row r="263" spans="2:5" ht="15.75">
      <c r="B263" s="601" t="s">
        <v>955</v>
      </c>
      <c r="C263" s="610" t="s">
        <v>956</v>
      </c>
      <c r="D263"/>
      <c r="E263"/>
    </row>
    <row r="264" spans="2:5" ht="15.75">
      <c r="B264" s="603" t="s">
        <v>957</v>
      </c>
      <c r="C264" s="604" t="s">
        <v>958</v>
      </c>
      <c r="D264"/>
      <c r="E264"/>
    </row>
    <row r="265" spans="2:5" ht="15.75">
      <c r="B265" s="601" t="s">
        <v>959</v>
      </c>
      <c r="C265" s="610" t="s">
        <v>960</v>
      </c>
      <c r="D265"/>
      <c r="E265"/>
    </row>
    <row r="266" spans="2:5" ht="15.75">
      <c r="B266" s="603" t="s">
        <v>961</v>
      </c>
      <c r="C266" s="604" t="s">
        <v>962</v>
      </c>
      <c r="D266"/>
      <c r="E266"/>
    </row>
    <row r="267" spans="2:5" ht="15.75">
      <c r="B267" s="603" t="s">
        <v>963</v>
      </c>
      <c r="C267" s="604" t="s">
        <v>964</v>
      </c>
      <c r="D267"/>
      <c r="E267"/>
    </row>
    <row r="268" spans="2:5" ht="15.75">
      <c r="B268" s="605">
        <v>8</v>
      </c>
      <c r="C268" s="611" t="s">
        <v>14</v>
      </c>
      <c r="D268"/>
      <c r="E268"/>
    </row>
    <row r="269" spans="2:5" ht="15.75">
      <c r="B269" s="601" t="s">
        <v>965</v>
      </c>
      <c r="C269" s="610" t="s">
        <v>966</v>
      </c>
      <c r="D269"/>
      <c r="E269"/>
    </row>
    <row r="270" spans="2:5" ht="15.75">
      <c r="B270" s="603" t="s">
        <v>967</v>
      </c>
      <c r="C270" s="604" t="s">
        <v>968</v>
      </c>
      <c r="D270"/>
      <c r="E270"/>
    </row>
    <row r="271" spans="2:5" ht="15.75">
      <c r="B271" s="603" t="s">
        <v>969</v>
      </c>
      <c r="C271" s="604" t="s">
        <v>970</v>
      </c>
      <c r="D271"/>
      <c r="E271"/>
    </row>
    <row r="272" spans="2:5" ht="15.75">
      <c r="B272" s="603" t="s">
        <v>971</v>
      </c>
      <c r="C272" s="604" t="s">
        <v>972</v>
      </c>
      <c r="D272"/>
      <c r="E272"/>
    </row>
    <row r="273" spans="2:5" ht="15.75">
      <c r="B273" s="603" t="s">
        <v>973</v>
      </c>
      <c r="C273" s="604" t="s">
        <v>974</v>
      </c>
      <c r="D273"/>
      <c r="E273"/>
    </row>
    <row r="274" spans="2:5" ht="15.75">
      <c r="B274" s="601" t="s">
        <v>504</v>
      </c>
      <c r="C274" s="610" t="s">
        <v>505</v>
      </c>
      <c r="D274"/>
      <c r="E274"/>
    </row>
    <row r="275" spans="2:5" ht="15.75">
      <c r="B275" s="603" t="s">
        <v>975</v>
      </c>
      <c r="C275" s="604" t="s">
        <v>976</v>
      </c>
      <c r="D275"/>
      <c r="E275"/>
    </row>
    <row r="276" spans="2:5" ht="15.75">
      <c r="B276" s="603" t="s">
        <v>977</v>
      </c>
      <c r="C276" s="604" t="s">
        <v>978</v>
      </c>
      <c r="D276"/>
      <c r="E276"/>
    </row>
    <row r="277" spans="2:5" ht="26.25">
      <c r="B277" s="603" t="s">
        <v>506</v>
      </c>
      <c r="C277" s="604" t="s">
        <v>979</v>
      </c>
      <c r="D277"/>
      <c r="E277"/>
    </row>
    <row r="278" spans="2:5" ht="15.75">
      <c r="B278" s="603" t="s">
        <v>980</v>
      </c>
      <c r="C278" s="604" t="s">
        <v>981</v>
      </c>
      <c r="D278"/>
      <c r="E278"/>
    </row>
    <row r="279" spans="2:5" ht="15.75">
      <c r="B279" s="603" t="s">
        <v>982</v>
      </c>
      <c r="C279" s="604" t="s">
        <v>983</v>
      </c>
      <c r="D279"/>
      <c r="E279"/>
    </row>
    <row r="280" spans="2:5" ht="15.75">
      <c r="B280" s="603" t="s">
        <v>507</v>
      </c>
      <c r="C280" s="604" t="s">
        <v>984</v>
      </c>
      <c r="D280"/>
      <c r="E280"/>
    </row>
    <row r="281" spans="2:5" ht="15.75">
      <c r="B281" s="603" t="s">
        <v>985</v>
      </c>
      <c r="C281" s="604" t="s">
        <v>986</v>
      </c>
      <c r="D281"/>
      <c r="E281"/>
    </row>
    <row r="282" spans="2:5" ht="15.75">
      <c r="B282" s="603" t="s">
        <v>987</v>
      </c>
      <c r="C282" s="604" t="s">
        <v>988</v>
      </c>
      <c r="D282"/>
      <c r="E282"/>
    </row>
    <row r="283" spans="2:5" ht="15.75">
      <c r="B283" s="605">
        <v>9</v>
      </c>
      <c r="C283" s="611" t="s">
        <v>285</v>
      </c>
      <c r="D283"/>
      <c r="E283"/>
    </row>
    <row r="284" spans="2:5" ht="15.75">
      <c r="B284" s="601" t="s">
        <v>989</v>
      </c>
      <c r="C284" s="610" t="s">
        <v>990</v>
      </c>
      <c r="D284"/>
      <c r="E284"/>
    </row>
    <row r="285" spans="2:5" ht="15.75">
      <c r="B285" s="603" t="s">
        <v>991</v>
      </c>
      <c r="C285" s="604" t="s">
        <v>992</v>
      </c>
      <c r="D285"/>
      <c r="E285"/>
    </row>
    <row r="286" spans="2:5" ht="15.75">
      <c r="B286" s="601" t="s">
        <v>508</v>
      </c>
      <c r="C286" s="610" t="s">
        <v>509</v>
      </c>
      <c r="D286"/>
      <c r="E286"/>
    </row>
    <row r="287" spans="2:5" ht="15.75">
      <c r="B287" s="612" t="s">
        <v>993</v>
      </c>
      <c r="C287" s="604" t="s">
        <v>994</v>
      </c>
      <c r="D287"/>
      <c r="E287"/>
    </row>
    <row r="288" spans="2:5" ht="15.75">
      <c r="B288" s="612" t="s">
        <v>510</v>
      </c>
      <c r="C288" s="604" t="s">
        <v>511</v>
      </c>
      <c r="D288"/>
      <c r="E288"/>
    </row>
    <row r="289" spans="2:5" ht="15.75">
      <c r="B289"/>
      <c r="C289"/>
      <c r="D289"/>
      <c r="E289"/>
    </row>
  </sheetData>
  <sheetProtection password="C0DB" sheet="1"/>
  <phoneticPr fontId="98" type="noConversion"/>
  <pageMargins left="0.55118110236220474" right="0.74803149606299213" top="0.39370078740157483" bottom="1.1023622047244095" header="0" footer="0"/>
  <pageSetup orientation="portrait" horizontalDpi="360" verticalDpi="360" r:id="rId1"/>
  <headerFooter alignWithMargins="0"/>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53E48-F773-4D24-8D1A-69D4BF8F4971}">
  <sheetPr codeName="Hoja28"/>
  <dimension ref="A1"/>
  <sheetViews>
    <sheetView workbookViewId="0">
      <selection sqref="A1:IV1"/>
    </sheetView>
  </sheetViews>
  <sheetFormatPr defaultRowHeight="15.75"/>
  <cols>
    <col min="1" max="256" width="11" customWidth="1"/>
  </cols>
  <sheetData>
    <row r="1" s="559" customFormat="1" ht="20.25"/>
  </sheetData>
  <phoneticPr fontId="0" type="noConversion"/>
  <pageMargins left="0.75" right="0.75" top="1" bottom="1" header="0" footer="0"/>
  <pageSetup orientation="portrait" horizontalDpi="360" verticalDpi="36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A233-C82D-4983-A25E-3BC8720AF20C}">
  <sheetPr codeName="Hoja29"/>
  <dimension ref="A1"/>
  <sheetViews>
    <sheetView workbookViewId="0">
      <selection sqref="A1:IV1"/>
    </sheetView>
  </sheetViews>
  <sheetFormatPr defaultRowHeight="15.75"/>
  <cols>
    <col min="1" max="256" width="11" customWidth="1"/>
  </cols>
  <sheetData>
    <row r="1" s="559" customFormat="1" ht="20.25"/>
  </sheetData>
  <phoneticPr fontId="0" type="noConversion"/>
  <pageMargins left="0.75" right="0.75" top="1" bottom="1" header="0" footer="0"/>
  <pageSetup orientation="portrait" horizontalDpi="360" verticalDpi="36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D6EEB-B60D-4D9C-B2A1-59C76607B582}">
  <sheetPr codeName="Hoja30"/>
  <dimension ref="A1"/>
  <sheetViews>
    <sheetView workbookViewId="0">
      <selection sqref="A1:IV1"/>
    </sheetView>
  </sheetViews>
  <sheetFormatPr defaultRowHeight="15.75"/>
  <cols>
    <col min="1" max="256" width="11" customWidth="1"/>
  </cols>
  <sheetData>
    <row r="1" s="559" customFormat="1" ht="20.25"/>
  </sheetData>
  <phoneticPr fontId="0" type="noConversion"/>
  <pageMargins left="0.75" right="0.75" top="1" bottom="1" header="0" footer="0"/>
  <pageSetup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256FF-20FE-447F-9E59-77820B56BC00}">
  <sheetPr codeName="Hoja3"/>
  <dimension ref="A1:I162"/>
  <sheetViews>
    <sheetView tabSelected="1" zoomScaleNormal="100" workbookViewId="0">
      <selection activeCell="I15" sqref="I15"/>
    </sheetView>
  </sheetViews>
  <sheetFormatPr defaultColWidth="10" defaultRowHeight="15.75"/>
  <cols>
    <col min="1" max="1" width="19.625" style="99" customWidth="1"/>
    <col min="2" max="2" width="35.375" style="100" customWidth="1"/>
    <col min="3" max="3" width="17.5" style="101" customWidth="1"/>
    <col min="4" max="4" width="8" style="673" customWidth="1"/>
    <col min="5" max="5" width="18.375" style="102" hidden="1" customWidth="1"/>
    <col min="6" max="6" width="14.375" style="102" hidden="1" customWidth="1"/>
    <col min="7" max="7" width="0" style="102" hidden="1" customWidth="1"/>
    <col min="8" max="8" width="10" style="102"/>
    <col min="9" max="9" width="14.5" style="102" customWidth="1"/>
    <col min="10" max="16384" width="10" style="102"/>
  </cols>
  <sheetData>
    <row r="1" spans="1:5" s="571" customFormat="1" ht="27" thickBot="1">
      <c r="A1" s="569" t="s">
        <v>32</v>
      </c>
      <c r="B1" s="569"/>
      <c r="C1" s="570"/>
      <c r="D1" s="672" t="str">
        <f>INDICE!F1</f>
        <v>Presupuesto Ordinario 2013</v>
      </c>
      <c r="E1" s="1021" t="s">
        <v>621</v>
      </c>
    </row>
    <row r="2" spans="1:5" ht="16.5" thickTop="1"/>
    <row r="4" spans="1:5" ht="18.75">
      <c r="A4" s="1359" t="s">
        <v>12</v>
      </c>
      <c r="B4" s="1359"/>
      <c r="C4" s="1359"/>
      <c r="D4" s="1359"/>
    </row>
    <row r="5" spans="1:5" ht="16.5" thickBot="1"/>
    <row r="6" spans="1:5" s="103" customFormat="1" ht="16.5" thickBot="1">
      <c r="A6" s="287" t="s">
        <v>593</v>
      </c>
      <c r="B6" s="288" t="s">
        <v>67</v>
      </c>
      <c r="C6" s="289" t="s">
        <v>98</v>
      </c>
      <c r="D6" s="674" t="s">
        <v>62</v>
      </c>
    </row>
    <row r="7" spans="1:5">
      <c r="A7" s="104"/>
    </row>
    <row r="8" spans="1:5">
      <c r="A8" s="105"/>
      <c r="B8" s="106"/>
    </row>
    <row r="9" spans="1:5" ht="18">
      <c r="A9" s="107" t="s">
        <v>169</v>
      </c>
      <c r="B9" s="108" t="s">
        <v>42</v>
      </c>
      <c r="C9" s="109">
        <f>C12+C43+C102</f>
        <v>3988019550</v>
      </c>
      <c r="D9" s="675">
        <f>D12+D43+D102</f>
        <v>65.028809920725749</v>
      </c>
    </row>
    <row r="10" spans="1:5" ht="18">
      <c r="A10" s="107"/>
      <c r="B10" s="108"/>
      <c r="C10" s="109"/>
      <c r="D10" s="675"/>
    </row>
    <row r="11" spans="1:5">
      <c r="A11" s="107"/>
      <c r="B11" s="110"/>
    </row>
    <row r="12" spans="1:5" ht="16.5">
      <c r="A12" s="107" t="s">
        <v>170</v>
      </c>
      <c r="B12" s="111" t="s">
        <v>43</v>
      </c>
      <c r="C12" s="112">
        <f>C14+C20+C37</f>
        <v>2640558000</v>
      </c>
      <c r="D12" s="676">
        <f>D14+D20+D37</f>
        <v>43.05704676564379</v>
      </c>
    </row>
    <row r="13" spans="1:5">
      <c r="A13" s="113"/>
      <c r="B13" s="114"/>
    </row>
    <row r="14" spans="1:5">
      <c r="A14" s="107" t="s">
        <v>171</v>
      </c>
      <c r="B14" s="110" t="s">
        <v>172</v>
      </c>
      <c r="C14" s="115">
        <f>SUM(C15:C17)</f>
        <v>1115058000</v>
      </c>
      <c r="D14" s="677">
        <f>SUM(D15:D17)</f>
        <v>18.182181361820206</v>
      </c>
    </row>
    <row r="15" spans="1:5" ht="30">
      <c r="A15" s="113" t="s">
        <v>173</v>
      </c>
      <c r="B15" s="114" t="s">
        <v>174</v>
      </c>
      <c r="C15" s="101">
        <f>[12]ESTIMACION!F15</f>
        <v>1080008000</v>
      </c>
      <c r="D15" s="673">
        <f>C15/$C$150*100</f>
        <v>17.610654628025372</v>
      </c>
    </row>
    <row r="16" spans="1:5">
      <c r="A16" s="113" t="s">
        <v>175</v>
      </c>
      <c r="B16" s="114" t="s">
        <v>176</v>
      </c>
      <c r="C16" s="116">
        <f>[12]ESTIMACION!F19</f>
        <v>50000</v>
      </c>
      <c r="D16" s="673">
        <f>C16/$C$150*100</f>
        <v>8.1530204535639416E-4</v>
      </c>
    </row>
    <row r="17" spans="1:4" ht="30">
      <c r="A17" s="113" t="s">
        <v>177</v>
      </c>
      <c r="B17" s="114" t="s">
        <v>178</v>
      </c>
      <c r="C17" s="116">
        <f>[12]ESTIMACION!F22</f>
        <v>35000000</v>
      </c>
      <c r="D17" s="673">
        <f>C17/$C$150*100</f>
        <v>0.57071143174947603</v>
      </c>
    </row>
    <row r="18" spans="1:4">
      <c r="A18" s="113"/>
      <c r="B18" s="114"/>
    </row>
    <row r="19" spans="1:4" ht="17.25">
      <c r="A19" s="113"/>
      <c r="B19" s="117"/>
      <c r="C19" s="118"/>
    </row>
    <row r="20" spans="1:4" ht="28.5">
      <c r="A20" s="107" t="s">
        <v>179</v>
      </c>
      <c r="B20" s="110" t="s">
        <v>180</v>
      </c>
      <c r="C20" s="115">
        <f>C22+C33</f>
        <v>1424350000</v>
      </c>
      <c r="D20" s="677">
        <f>D22+D33</f>
        <v>23.225509366067598</v>
      </c>
    </row>
    <row r="21" spans="1:4">
      <c r="A21" s="107"/>
      <c r="B21" s="110"/>
      <c r="C21" s="115"/>
      <c r="D21" s="677"/>
    </row>
    <row r="22" spans="1:4" ht="42.75">
      <c r="A22" s="107" t="s">
        <v>181</v>
      </c>
      <c r="B22" s="110" t="s">
        <v>182</v>
      </c>
      <c r="C22" s="115">
        <f>C24+C29</f>
        <v>168350000</v>
      </c>
      <c r="D22" s="677">
        <f>D24+D29</f>
        <v>2.7451219867149792</v>
      </c>
    </row>
    <row r="23" spans="1:4">
      <c r="A23" s="107"/>
      <c r="B23" s="110"/>
      <c r="C23" s="115"/>
      <c r="D23" s="677"/>
    </row>
    <row r="24" spans="1:4" ht="42.75">
      <c r="A24" s="107" t="s">
        <v>183</v>
      </c>
      <c r="B24" s="110" t="s">
        <v>184</v>
      </c>
      <c r="C24" s="115">
        <f>SUM(C25:C27)</f>
        <v>143350000</v>
      </c>
      <c r="D24" s="115">
        <f>SUM(D25:D27)</f>
        <v>2.3374709640367821</v>
      </c>
    </row>
    <row r="25" spans="1:4" ht="30">
      <c r="A25" s="113" t="s">
        <v>1124</v>
      </c>
      <c r="B25" s="114" t="s">
        <v>1125</v>
      </c>
      <c r="C25" s="116">
        <f>[12]ESTIMACION!F30</f>
        <v>1350000</v>
      </c>
      <c r="D25" s="673">
        <f>C25/$C$150*100</f>
        <v>2.2013155224622643E-2</v>
      </c>
    </row>
    <row r="26" spans="1:4">
      <c r="A26" s="113" t="s">
        <v>185</v>
      </c>
      <c r="B26" s="114" t="s">
        <v>186</v>
      </c>
      <c r="C26" s="116">
        <f>[12]ESTIMACION!F33</f>
        <v>142000000</v>
      </c>
      <c r="D26" s="673">
        <f>C26/$C$150*100</f>
        <v>2.3154578088121593</v>
      </c>
    </row>
    <row r="27" spans="1:4">
      <c r="A27" s="113"/>
      <c r="B27" s="114"/>
    </row>
    <row r="28" spans="1:4">
      <c r="A28" s="113"/>
      <c r="B28" s="114"/>
    </row>
    <row r="29" spans="1:4" ht="42.75">
      <c r="A29" s="107" t="s">
        <v>187</v>
      </c>
      <c r="B29" s="110" t="s">
        <v>188</v>
      </c>
      <c r="C29" s="115">
        <f>SUM(C30:C31)</f>
        <v>25000000</v>
      </c>
      <c r="D29" s="677">
        <f>SUM(D30:D31)</f>
        <v>0.40765102267819708</v>
      </c>
    </row>
    <row r="30" spans="1:4" ht="30">
      <c r="A30" s="113" t="s">
        <v>189</v>
      </c>
      <c r="B30" s="114" t="s">
        <v>190</v>
      </c>
      <c r="C30" s="101">
        <f>[12]ESTIMACION!F38</f>
        <v>25000000</v>
      </c>
      <c r="D30" s="673">
        <f>C30/$C$150*100</f>
        <v>0.40765102267819708</v>
      </c>
    </row>
    <row r="31" spans="1:4">
      <c r="A31" s="113"/>
      <c r="B31" s="114"/>
    </row>
    <row r="32" spans="1:4">
      <c r="A32" s="113"/>
      <c r="B32" s="114"/>
    </row>
    <row r="33" spans="1:4" ht="28.5">
      <c r="A33" s="107" t="s">
        <v>191</v>
      </c>
      <c r="B33" s="110" t="s">
        <v>192</v>
      </c>
      <c r="C33" s="115">
        <f>SUM(C34:C34)</f>
        <v>1256000000</v>
      </c>
      <c r="D33" s="677">
        <f>SUM(D34:D34)</f>
        <v>20.480387379352621</v>
      </c>
    </row>
    <row r="34" spans="1:4" ht="30">
      <c r="A34" s="113" t="s">
        <v>193</v>
      </c>
      <c r="B34" s="114" t="s">
        <v>194</v>
      </c>
      <c r="C34" s="116">
        <f>[12]ESTIMACION!F45</f>
        <v>1256000000</v>
      </c>
      <c r="D34" s="673">
        <f>C34/$C$150*100</f>
        <v>20.480387379352621</v>
      </c>
    </row>
    <row r="35" spans="1:4">
      <c r="A35" s="113"/>
      <c r="B35" s="114"/>
      <c r="C35" s="116"/>
    </row>
    <row r="36" spans="1:4">
      <c r="A36" s="113"/>
      <c r="B36" s="114"/>
      <c r="C36" s="119"/>
    </row>
    <row r="37" spans="1:4">
      <c r="A37" s="107" t="s">
        <v>195</v>
      </c>
      <c r="B37" s="110" t="s">
        <v>196</v>
      </c>
      <c r="C37" s="115">
        <f>SUM(C38:C38)</f>
        <v>101150000</v>
      </c>
      <c r="D37" s="677">
        <f>SUM(D38:D38)</f>
        <v>1.6493560377559855</v>
      </c>
    </row>
    <row r="38" spans="1:4">
      <c r="A38" s="113" t="s">
        <v>197</v>
      </c>
      <c r="B38" s="114" t="s">
        <v>198</v>
      </c>
      <c r="C38" s="101">
        <f>[12]ESTIMACION!F52</f>
        <v>101150000</v>
      </c>
      <c r="D38" s="673">
        <f>C38/$C$150*100</f>
        <v>1.6493560377559855</v>
      </c>
    </row>
    <row r="39" spans="1:4">
      <c r="A39" s="113"/>
      <c r="B39" s="114"/>
    </row>
    <row r="40" spans="1:4">
      <c r="A40" s="113"/>
      <c r="B40" s="114"/>
    </row>
    <row r="41" spans="1:4">
      <c r="A41" s="113"/>
      <c r="B41" s="114"/>
    </row>
    <row r="42" spans="1:4">
      <c r="A42" s="113"/>
      <c r="B42" s="114"/>
    </row>
    <row r="43" spans="1:4">
      <c r="A43" s="107" t="s">
        <v>199</v>
      </c>
      <c r="B43" s="111" t="s">
        <v>49</v>
      </c>
      <c r="C43" s="120">
        <f>C46+C86+C93+C97</f>
        <v>1295390990</v>
      </c>
      <c r="D43" s="678">
        <f>D46+D86+D93+D97</f>
        <v>21.12269847366489</v>
      </c>
    </row>
    <row r="44" spans="1:4">
      <c r="A44" s="107"/>
      <c r="B44" s="110"/>
      <c r="C44" s="115"/>
      <c r="D44" s="677"/>
    </row>
    <row r="45" spans="1:4">
      <c r="A45" s="107"/>
      <c r="B45" s="110"/>
      <c r="C45" s="115"/>
      <c r="D45" s="677"/>
    </row>
    <row r="46" spans="1:4">
      <c r="A46" s="107" t="s">
        <v>200</v>
      </c>
      <c r="B46" s="110" t="s">
        <v>201</v>
      </c>
      <c r="C46" s="115">
        <f>C48+C52+C76</f>
        <v>1105434000</v>
      </c>
      <c r="D46" s="677">
        <f>D48+D52+D76</f>
        <v>18.025252024130005</v>
      </c>
    </row>
    <row r="47" spans="1:4">
      <c r="A47" s="107"/>
      <c r="B47" s="110"/>
    </row>
    <row r="48" spans="1:4">
      <c r="A48" s="107" t="s">
        <v>202</v>
      </c>
      <c r="B48" s="110" t="s">
        <v>203</v>
      </c>
      <c r="C48" s="115">
        <f>SUM(C49:C49)</f>
        <v>250000</v>
      </c>
      <c r="D48" s="677">
        <f>SUM(D49:D49)</f>
        <v>4.076510226781971E-3</v>
      </c>
    </row>
    <row r="49" spans="1:4">
      <c r="A49" s="113" t="s">
        <v>204</v>
      </c>
      <c r="B49" s="114" t="s">
        <v>50</v>
      </c>
      <c r="C49" s="116">
        <f>[12]ESTIMACION!F63</f>
        <v>250000</v>
      </c>
      <c r="D49" s="673">
        <f>C49/$C$150*100</f>
        <v>4.076510226781971E-3</v>
      </c>
    </row>
    <row r="50" spans="1:4">
      <c r="A50" s="104"/>
      <c r="B50" s="106"/>
      <c r="C50" s="119"/>
    </row>
    <row r="51" spans="1:4">
      <c r="A51" s="104"/>
      <c r="B51" s="106"/>
      <c r="C51" s="119"/>
    </row>
    <row r="52" spans="1:4">
      <c r="A52" s="107" t="s">
        <v>205</v>
      </c>
      <c r="B52" s="110" t="s">
        <v>206</v>
      </c>
      <c r="C52" s="115">
        <f>C58+C62+C68+C54</f>
        <v>1064984000</v>
      </c>
      <c r="D52" s="115">
        <f>D58+D62+D68+D54</f>
        <v>17.365672669436684</v>
      </c>
    </row>
    <row r="53" spans="1:4">
      <c r="A53" s="113"/>
      <c r="B53" s="114"/>
    </row>
    <row r="54" spans="1:4" ht="28.5">
      <c r="A54" s="839" t="s">
        <v>1225</v>
      </c>
      <c r="B54" s="841" t="s">
        <v>1227</v>
      </c>
      <c r="C54" s="115">
        <f>SUM(C55:C55)</f>
        <v>9000</v>
      </c>
      <c r="D54" s="843">
        <f>SUM(D55:D55)</f>
        <v>1.4675436816415096E-4</v>
      </c>
    </row>
    <row r="55" spans="1:4">
      <c r="A55" s="840" t="s">
        <v>1226</v>
      </c>
      <c r="B55" s="842" t="s">
        <v>1228</v>
      </c>
      <c r="C55" s="116">
        <f>[12]ESTIMACION!$F$73</f>
        <v>9000</v>
      </c>
      <c r="D55" s="844">
        <f>C55/$C$150*100</f>
        <v>1.4675436816415096E-4</v>
      </c>
    </row>
    <row r="56" spans="1:4">
      <c r="A56" s="104"/>
      <c r="B56" s="106"/>
      <c r="C56" s="119"/>
    </row>
    <row r="57" spans="1:4">
      <c r="A57" s="104"/>
      <c r="B57" s="106"/>
      <c r="C57" s="119"/>
    </row>
    <row r="58" spans="1:4">
      <c r="A58" s="107" t="s">
        <v>207</v>
      </c>
      <c r="B58" s="110" t="s">
        <v>208</v>
      </c>
      <c r="C58" s="115">
        <f>SUM(C59:C59)</f>
        <v>107300000</v>
      </c>
      <c r="D58" s="677">
        <f>SUM(D59:D59)</f>
        <v>1.7496381893348221</v>
      </c>
    </row>
    <row r="59" spans="1:4">
      <c r="A59" s="113" t="s">
        <v>209</v>
      </c>
      <c r="B59" s="114" t="s">
        <v>210</v>
      </c>
      <c r="C59" s="101">
        <f>[12]ESTIMACION!F82</f>
        <v>107300000</v>
      </c>
      <c r="D59" s="673">
        <f>C59/$C$150*100</f>
        <v>1.7496381893348221</v>
      </c>
    </row>
    <row r="60" spans="1:4">
      <c r="A60" s="113"/>
      <c r="B60" s="114"/>
    </row>
    <row r="61" spans="1:4">
      <c r="A61" s="113"/>
      <c r="B61" s="114"/>
    </row>
    <row r="62" spans="1:4">
      <c r="A62" s="107" t="s">
        <v>211</v>
      </c>
      <c r="B62" s="110" t="s">
        <v>212</v>
      </c>
      <c r="C62" s="115">
        <f>SUM(C63:C65)</f>
        <v>941175000</v>
      </c>
      <c r="D62" s="677">
        <f>SUM(D63:D65)</f>
        <v>15.346838050766086</v>
      </c>
    </row>
    <row r="63" spans="1:4">
      <c r="A63" s="113" t="s">
        <v>213</v>
      </c>
      <c r="B63" s="106" t="s">
        <v>51</v>
      </c>
      <c r="C63" s="116">
        <f>[12]ESTIMACION!F92</f>
        <v>69675000</v>
      </c>
      <c r="D63" s="673">
        <f>C63/$C$150*100</f>
        <v>1.1361234002041354</v>
      </c>
    </row>
    <row r="64" spans="1:4">
      <c r="A64" s="113" t="s">
        <v>214</v>
      </c>
      <c r="B64" s="114" t="s">
        <v>215</v>
      </c>
      <c r="C64" s="116">
        <f>[12]ESTIMACION!F97</f>
        <v>871500000</v>
      </c>
      <c r="D64" s="673">
        <f>C64/$C$150*100</f>
        <v>14.21071465056195</v>
      </c>
    </row>
    <row r="65" spans="1:4">
      <c r="A65" s="113" t="s">
        <v>216</v>
      </c>
      <c r="B65" s="114" t="s">
        <v>217</v>
      </c>
      <c r="C65" s="116">
        <f>[12]ESTIMACION!F102</f>
        <v>0</v>
      </c>
      <c r="D65" s="673">
        <f>C65/$C$150*100</f>
        <v>0</v>
      </c>
    </row>
    <row r="66" spans="1:4">
      <c r="A66" s="113"/>
      <c r="B66" s="106"/>
      <c r="C66" s="119"/>
    </row>
    <row r="67" spans="1:4">
      <c r="A67" s="113"/>
      <c r="B67" s="114"/>
      <c r="C67" s="119"/>
    </row>
    <row r="68" spans="1:4">
      <c r="A68" s="107" t="s">
        <v>218</v>
      </c>
      <c r="B68" s="110" t="s">
        <v>219</v>
      </c>
      <c r="C68" s="115">
        <f>SUM(C69:C71)</f>
        <v>16500000</v>
      </c>
      <c r="D68" s="677">
        <f>SUM(D69:D71)</f>
        <v>0.26904967496761006</v>
      </c>
    </row>
    <row r="69" spans="1:4">
      <c r="A69" s="113" t="s">
        <v>1229</v>
      </c>
      <c r="B69" s="114" t="s">
        <v>1230</v>
      </c>
      <c r="C69" s="116">
        <f>[12]ESTIMACION!$F$113</f>
        <v>16500000</v>
      </c>
      <c r="D69" s="673">
        <f>C69/$C$150*100</f>
        <v>0.26904967496761006</v>
      </c>
    </row>
    <row r="70" spans="1:4">
      <c r="A70" s="113" t="s">
        <v>1169</v>
      </c>
      <c r="B70" s="114" t="s">
        <v>1170</v>
      </c>
      <c r="C70" s="116">
        <f>[12]ESTIMACION!$F$118</f>
        <v>0</v>
      </c>
      <c r="D70" s="673">
        <f>C70/$C$150*100</f>
        <v>0</v>
      </c>
    </row>
    <row r="71" spans="1:4">
      <c r="A71" s="113" t="s">
        <v>220</v>
      </c>
      <c r="B71" s="114" t="s">
        <v>168</v>
      </c>
      <c r="C71" s="116">
        <f>[12]ESTIMACION!F121</f>
        <v>0</v>
      </c>
      <c r="D71" s="673">
        <f>C71/$C$150*100</f>
        <v>0</v>
      </c>
    </row>
    <row r="72" spans="1:4">
      <c r="A72" s="104"/>
      <c r="B72" s="106"/>
      <c r="C72" s="119"/>
    </row>
    <row r="73" spans="1:4">
      <c r="A73" s="104"/>
      <c r="B73" s="106"/>
      <c r="C73" s="119"/>
    </row>
    <row r="74" spans="1:4">
      <c r="A74" s="104"/>
      <c r="B74" s="106"/>
      <c r="C74" s="119"/>
    </row>
    <row r="75" spans="1:4">
      <c r="A75" s="104"/>
      <c r="B75" s="106"/>
      <c r="C75" s="119"/>
    </row>
    <row r="76" spans="1:4">
      <c r="A76" s="107" t="s">
        <v>221</v>
      </c>
      <c r="B76" s="110" t="s">
        <v>222</v>
      </c>
      <c r="C76" s="115">
        <f>C78+C82</f>
        <v>40200000</v>
      </c>
      <c r="D76" s="115">
        <f>D78+D82</f>
        <v>0.65550284446654095</v>
      </c>
    </row>
    <row r="77" spans="1:4">
      <c r="A77" s="107"/>
      <c r="B77" s="110"/>
      <c r="C77" s="115"/>
      <c r="D77" s="677"/>
    </row>
    <row r="78" spans="1:4" ht="28.5">
      <c r="A78" s="107" t="s">
        <v>223</v>
      </c>
      <c r="B78" s="110" t="s">
        <v>224</v>
      </c>
      <c r="C78" s="115">
        <f>SUM(C79:C79)</f>
        <v>38000000</v>
      </c>
      <c r="D78" s="677">
        <f>SUM(D79:D79)</f>
        <v>0.61962955447085966</v>
      </c>
    </row>
    <row r="79" spans="1:4" ht="30">
      <c r="A79" s="113" t="s">
        <v>225</v>
      </c>
      <c r="B79" s="114" t="s">
        <v>226</v>
      </c>
      <c r="C79" s="101">
        <f>[12]ESTIMACION!F128</f>
        <v>38000000</v>
      </c>
      <c r="D79" s="673">
        <f>C79/$C$150*100</f>
        <v>0.61962955447085966</v>
      </c>
    </row>
    <row r="80" spans="1:4">
      <c r="A80" s="113"/>
      <c r="B80" s="114"/>
      <c r="C80" s="119"/>
    </row>
    <row r="81" spans="1:4">
      <c r="A81" s="107"/>
      <c r="B81" s="110"/>
      <c r="C81" s="115"/>
      <c r="D81" s="677"/>
    </row>
    <row r="82" spans="1:4" ht="28.5">
      <c r="A82" s="107" t="s">
        <v>1231</v>
      </c>
      <c r="B82" s="110" t="s">
        <v>1232</v>
      </c>
      <c r="C82" s="115">
        <f>SUM(C83:C83)</f>
        <v>2200000</v>
      </c>
      <c r="D82" s="677">
        <f>SUM(D83:D83)</f>
        <v>3.5873289995681346E-2</v>
      </c>
    </row>
    <row r="83" spans="1:4" ht="30">
      <c r="A83" s="113" t="s">
        <v>1233</v>
      </c>
      <c r="B83" s="114" t="s">
        <v>1234</v>
      </c>
      <c r="C83" s="101">
        <f>[12]ESTIMACION!$F$135</f>
        <v>2200000</v>
      </c>
      <c r="D83" s="673">
        <f>C83/$C$150*100</f>
        <v>3.5873289995681346E-2</v>
      </c>
    </row>
    <row r="84" spans="1:4">
      <c r="A84" s="113"/>
      <c r="B84" s="114"/>
      <c r="C84" s="119"/>
    </row>
    <row r="85" spans="1:4">
      <c r="A85" s="113"/>
      <c r="B85" s="114"/>
      <c r="C85" s="119"/>
    </row>
    <row r="86" spans="1:4" ht="28.5">
      <c r="A86" s="107" t="s">
        <v>227</v>
      </c>
      <c r="B86" s="110" t="s">
        <v>228</v>
      </c>
      <c r="C86" s="115">
        <f>C88</f>
        <v>132350000</v>
      </c>
      <c r="D86" s="677">
        <f>D88</f>
        <v>2.1581045140583752</v>
      </c>
    </row>
    <row r="87" spans="1:4">
      <c r="A87" s="107"/>
      <c r="B87" s="110"/>
    </row>
    <row r="88" spans="1:4">
      <c r="A88" s="107" t="s">
        <v>229</v>
      </c>
      <c r="B88" s="110" t="s">
        <v>230</v>
      </c>
      <c r="C88" s="115">
        <f>SUM(C89:C91)</f>
        <v>132350000</v>
      </c>
      <c r="D88" s="677">
        <f>SUM(D89:D91)</f>
        <v>2.1581045140583752</v>
      </c>
    </row>
    <row r="89" spans="1:4">
      <c r="A89" s="113" t="s">
        <v>231</v>
      </c>
      <c r="B89" s="114" t="s">
        <v>232</v>
      </c>
      <c r="C89" s="116">
        <f>[12]ESTIMACION!F178</f>
        <v>90000000</v>
      </c>
      <c r="D89" s="673">
        <f>C89/$C$150*100</f>
        <v>1.4675436816415095</v>
      </c>
    </row>
    <row r="90" spans="1:4">
      <c r="A90" s="113" t="s">
        <v>233</v>
      </c>
      <c r="B90" s="114" t="s">
        <v>234</v>
      </c>
      <c r="C90" s="116">
        <f>[12]ESTIMACION!F181</f>
        <v>7000000</v>
      </c>
      <c r="D90" s="673">
        <f>C90/$C$150*100</f>
        <v>0.11414228634989518</v>
      </c>
    </row>
    <row r="91" spans="1:4">
      <c r="A91" s="113" t="s">
        <v>235</v>
      </c>
      <c r="B91" s="114" t="s">
        <v>236</v>
      </c>
      <c r="C91" s="116">
        <f>[12]ESTIMACION!F183</f>
        <v>35350000</v>
      </c>
      <c r="D91" s="673">
        <f>C91/$C$150*100</f>
        <v>0.57641854606697074</v>
      </c>
    </row>
    <row r="92" spans="1:4">
      <c r="A92" s="113"/>
      <c r="B92" s="114"/>
    </row>
    <row r="93" spans="1:4">
      <c r="A93" s="107" t="s">
        <v>237</v>
      </c>
      <c r="B93" s="110" t="s">
        <v>238</v>
      </c>
      <c r="C93" s="115">
        <f>SUM(C94:C95)</f>
        <v>57456990</v>
      </c>
      <c r="D93" s="677">
        <f>SUM(D94:D95)</f>
        <v>0.9368960293404377</v>
      </c>
    </row>
    <row r="94" spans="1:4" ht="30">
      <c r="A94" s="113" t="s">
        <v>239</v>
      </c>
      <c r="B94" s="114" t="s">
        <v>240</v>
      </c>
      <c r="C94" s="116">
        <f>[12]ESTIMACION!F192</f>
        <v>39456990</v>
      </c>
      <c r="D94" s="673">
        <f>C94/$C$150*100</f>
        <v>0.64338729301213582</v>
      </c>
    </row>
    <row r="95" spans="1:4" ht="30">
      <c r="A95" s="113" t="s">
        <v>241</v>
      </c>
      <c r="B95" s="114" t="s">
        <v>242</v>
      </c>
      <c r="C95" s="116">
        <f>[12]ESTIMACION!F193</f>
        <v>18000000</v>
      </c>
      <c r="D95" s="673">
        <f>C95/$C$150*100</f>
        <v>0.29350873632830188</v>
      </c>
    </row>
    <row r="96" spans="1:4">
      <c r="A96" s="113"/>
      <c r="B96" s="114"/>
    </row>
    <row r="97" spans="1:4" ht="28.5">
      <c r="A97" s="107" t="s">
        <v>1171</v>
      </c>
      <c r="B97" s="110" t="s">
        <v>1173</v>
      </c>
      <c r="C97" s="115">
        <f>SUM(C98:C98)</f>
        <v>150000</v>
      </c>
      <c r="D97" s="846">
        <f>SUM(D98:D98)</f>
        <v>2.4459061360691827E-3</v>
      </c>
    </row>
    <row r="98" spans="1:4">
      <c r="A98" s="113" t="s">
        <v>1172</v>
      </c>
      <c r="B98" s="114" t="s">
        <v>1174</v>
      </c>
      <c r="C98" s="116">
        <f>[12]ESTIMACION!$F$198</f>
        <v>150000</v>
      </c>
      <c r="D98" s="845">
        <f>C98/$C$150*100</f>
        <v>2.4459061360691827E-3</v>
      </c>
    </row>
    <row r="99" spans="1:4">
      <c r="A99" s="113"/>
      <c r="B99" s="114"/>
      <c r="C99" s="119"/>
    </row>
    <row r="100" spans="1:4">
      <c r="A100" s="113"/>
      <c r="B100" s="114"/>
      <c r="C100" s="119"/>
    </row>
    <row r="101" spans="1:4">
      <c r="A101" s="113"/>
      <c r="B101" s="114"/>
      <c r="C101" s="119"/>
    </row>
    <row r="102" spans="1:4">
      <c r="A102" s="107" t="s">
        <v>243</v>
      </c>
      <c r="B102" s="111" t="s">
        <v>52</v>
      </c>
      <c r="C102" s="120">
        <f>C104+C110</f>
        <v>52070560</v>
      </c>
      <c r="D102" s="120">
        <f>D104+D110</f>
        <v>0.84906468141705704</v>
      </c>
    </row>
    <row r="103" spans="1:4">
      <c r="A103" s="107"/>
      <c r="B103" s="110"/>
      <c r="C103" s="115"/>
      <c r="D103" s="677"/>
    </row>
    <row r="104" spans="1:4" ht="28.5">
      <c r="A104" s="107" t="s">
        <v>244</v>
      </c>
      <c r="B104" s="110" t="s">
        <v>245</v>
      </c>
      <c r="C104" s="115">
        <f>SUM(C105:C109)</f>
        <v>52070560</v>
      </c>
      <c r="D104" s="115">
        <f>SUM(D105:D109)</f>
        <v>0.84906468141705704</v>
      </c>
    </row>
    <row r="105" spans="1:4" ht="30">
      <c r="A105" s="113" t="s">
        <v>246</v>
      </c>
      <c r="B105" s="114" t="s">
        <v>247</v>
      </c>
      <c r="C105" s="116">
        <f>[12]ESTIMACION!F210</f>
        <v>27763159</v>
      </c>
      <c r="D105" s="673">
        <f>C105/$C$150*100</f>
        <v>0.4527072063650957</v>
      </c>
    </row>
    <row r="106" spans="1:4" ht="30">
      <c r="A106" s="113" t="s">
        <v>248</v>
      </c>
      <c r="B106" s="114" t="s">
        <v>249</v>
      </c>
      <c r="C106" s="116">
        <f>[12]ESTIMACION!F215</f>
        <v>24307401</v>
      </c>
      <c r="D106" s="673">
        <f>C106/$C$150*100</f>
        <v>0.39635747505196128</v>
      </c>
    </row>
    <row r="107" spans="1:4" ht="30">
      <c r="A107" s="113" t="s">
        <v>1236</v>
      </c>
      <c r="B107" s="114" t="s">
        <v>1235</v>
      </c>
      <c r="C107" s="116">
        <f>[12]ESTIMACION!$F$218</f>
        <v>0</v>
      </c>
      <c r="D107" s="673">
        <f>C107/$C$150*100</f>
        <v>0</v>
      </c>
    </row>
    <row r="108" spans="1:4" ht="30">
      <c r="A108" s="113" t="s">
        <v>1238</v>
      </c>
      <c r="B108" s="114" t="s">
        <v>1237</v>
      </c>
      <c r="C108" s="116">
        <f>[12]ESTIMACION!$F$221</f>
        <v>0</v>
      </c>
      <c r="D108" s="673">
        <f>C108/$C$150*100</f>
        <v>0</v>
      </c>
    </row>
    <row r="109" spans="1:4">
      <c r="A109" s="113"/>
      <c r="B109" s="114"/>
    </row>
    <row r="110" spans="1:4" ht="28.5">
      <c r="A110" s="107" t="s">
        <v>1239</v>
      </c>
      <c r="B110" s="110" t="s">
        <v>1240</v>
      </c>
      <c r="C110" s="115">
        <f>[12]ESTIMACION!$F$230</f>
        <v>0</v>
      </c>
      <c r="D110" s="677">
        <f>C110/$C$150*100</f>
        <v>0</v>
      </c>
    </row>
    <row r="111" spans="1:4">
      <c r="A111" s="113"/>
      <c r="B111" s="114"/>
    </row>
    <row r="112" spans="1:4">
      <c r="A112" s="113"/>
      <c r="B112" s="114"/>
    </row>
    <row r="113" spans="1:4">
      <c r="A113" s="113"/>
      <c r="B113" s="114"/>
    </row>
    <row r="114" spans="1:4">
      <c r="A114" s="113"/>
      <c r="B114" s="114"/>
    </row>
    <row r="115" spans="1:4">
      <c r="A115" s="113"/>
      <c r="B115" s="114"/>
    </row>
    <row r="116" spans="1:4" ht="18">
      <c r="A116" s="107" t="s">
        <v>250</v>
      </c>
      <c r="B116" s="108" t="s">
        <v>53</v>
      </c>
      <c r="C116" s="109">
        <f>C119+C126</f>
        <v>1063776950</v>
      </c>
      <c r="D116" s="675">
        <f>D119+D126</f>
        <v>17.34599046275973</v>
      </c>
    </row>
    <row r="117" spans="1:4" ht="18">
      <c r="A117" s="107"/>
      <c r="B117" s="108"/>
      <c r="C117" s="109"/>
      <c r="D117" s="675"/>
    </row>
    <row r="118" spans="1:4">
      <c r="A118" s="107"/>
      <c r="B118" s="110"/>
      <c r="C118" s="121"/>
      <c r="D118" s="680"/>
    </row>
    <row r="119" spans="1:4">
      <c r="A119" s="107" t="s">
        <v>251</v>
      </c>
      <c r="B119" s="111" t="s">
        <v>252</v>
      </c>
      <c r="C119" s="120">
        <f>C121</f>
        <v>0</v>
      </c>
      <c r="D119" s="847">
        <f>D121</f>
        <v>0</v>
      </c>
    </row>
    <row r="120" spans="1:4">
      <c r="A120" s="107"/>
      <c r="B120" s="110"/>
      <c r="C120" s="115"/>
      <c r="D120" s="677"/>
    </row>
    <row r="121" spans="1:4">
      <c r="A121" s="107" t="s">
        <v>253</v>
      </c>
      <c r="B121" s="110" t="s">
        <v>254</v>
      </c>
      <c r="C121" s="115">
        <f>SUM(C122:C122)</f>
        <v>0</v>
      </c>
      <c r="D121" s="846">
        <f>SUM(D122:D122)</f>
        <v>0</v>
      </c>
    </row>
    <row r="122" spans="1:4">
      <c r="A122" s="113" t="s">
        <v>255</v>
      </c>
      <c r="B122" s="114" t="s">
        <v>256</v>
      </c>
      <c r="C122" s="101">
        <f>[12]ESTIMACION!F245</f>
        <v>0</v>
      </c>
      <c r="D122" s="845">
        <f>C122/$C$150*100</f>
        <v>0</v>
      </c>
    </row>
    <row r="123" spans="1:4">
      <c r="A123" s="113"/>
      <c r="B123" s="114"/>
      <c r="C123" s="119"/>
    </row>
    <row r="124" spans="1:4">
      <c r="A124" s="113"/>
      <c r="B124" s="114"/>
      <c r="C124" s="119"/>
    </row>
    <row r="125" spans="1:4">
      <c r="A125" s="113"/>
      <c r="B125" s="114"/>
      <c r="C125" s="119"/>
    </row>
    <row r="126" spans="1:4">
      <c r="A126" s="107" t="s">
        <v>271</v>
      </c>
      <c r="B126" s="111" t="s">
        <v>54</v>
      </c>
      <c r="C126" s="120">
        <f>C128</f>
        <v>1063776950</v>
      </c>
      <c r="D126" s="679">
        <f>D128</f>
        <v>17.34599046275973</v>
      </c>
    </row>
    <row r="127" spans="1:4">
      <c r="A127" s="107"/>
      <c r="B127" s="110"/>
    </row>
    <row r="128" spans="1:4" ht="28.5">
      <c r="A128" s="107" t="s">
        <v>272</v>
      </c>
      <c r="B128" s="110" t="s">
        <v>273</v>
      </c>
      <c r="C128" s="115">
        <f>SUM(C129:C131)</f>
        <v>1063776950</v>
      </c>
      <c r="D128" s="677">
        <f>SUM(D129:D131)</f>
        <v>17.34599046275973</v>
      </c>
    </row>
    <row r="129" spans="1:5" ht="30">
      <c r="A129" s="113" t="s">
        <v>274</v>
      </c>
      <c r="B129" s="114" t="s">
        <v>275</v>
      </c>
      <c r="C129" s="116">
        <f>[12]ESTIMACION!F252+[12]ESTIMACION!$F$279</f>
        <v>1060000000</v>
      </c>
      <c r="D129" s="673">
        <f>C129/$C$150*100</f>
        <v>17.284403361555555</v>
      </c>
      <c r="E129" s="1020" t="s">
        <v>1330</v>
      </c>
    </row>
    <row r="130" spans="1:5" ht="30">
      <c r="A130" s="113" t="s">
        <v>1328</v>
      </c>
      <c r="B130" s="114" t="s">
        <v>1329</v>
      </c>
      <c r="C130" s="116">
        <f>[12]ESTIMACION!$F$255</f>
        <v>0</v>
      </c>
      <c r="D130" s="673">
        <f>C130/$C$150*100</f>
        <v>0</v>
      </c>
      <c r="E130" s="996" t="s">
        <v>1330</v>
      </c>
    </row>
    <row r="131" spans="1:5" ht="30">
      <c r="A131" s="113" t="s">
        <v>276</v>
      </c>
      <c r="B131" s="114" t="s">
        <v>277</v>
      </c>
      <c r="C131" s="116">
        <f>[12]ESTIMACION!F258+[12]ESTIMACION!$E$271</f>
        <v>3776950</v>
      </c>
      <c r="D131" s="673">
        <f>C131/$C$150*100</f>
        <v>6.158710120417666E-2</v>
      </c>
    </row>
    <row r="132" spans="1:5">
      <c r="A132" s="113"/>
      <c r="B132" s="114"/>
    </row>
    <row r="133" spans="1:5">
      <c r="A133" s="113"/>
      <c r="B133" s="114"/>
    </row>
    <row r="134" spans="1:5">
      <c r="A134" s="113"/>
      <c r="B134" s="114"/>
    </row>
    <row r="135" spans="1:5">
      <c r="A135" s="113"/>
      <c r="B135" s="114"/>
    </row>
    <row r="136" spans="1:5" ht="18">
      <c r="A136" s="107" t="s">
        <v>632</v>
      </c>
      <c r="B136" s="108" t="s">
        <v>633</v>
      </c>
      <c r="C136" s="109">
        <f>C138+C145</f>
        <v>1080900000</v>
      </c>
      <c r="D136" s="675">
        <f>D138+D145</f>
        <v>17.625199616514529</v>
      </c>
    </row>
    <row r="137" spans="1:5" ht="17.25">
      <c r="A137" s="107"/>
      <c r="B137" s="108"/>
      <c r="C137" s="121"/>
      <c r="D137" s="680"/>
    </row>
    <row r="138" spans="1:5">
      <c r="A138" s="107" t="s">
        <v>634</v>
      </c>
      <c r="B138" s="111" t="s">
        <v>635</v>
      </c>
      <c r="C138" s="120">
        <f>C140</f>
        <v>900900000</v>
      </c>
      <c r="D138" s="679">
        <f>D140</f>
        <v>14.69011225323151</v>
      </c>
    </row>
    <row r="139" spans="1:5">
      <c r="A139" s="107"/>
      <c r="B139" s="111"/>
      <c r="C139" s="115"/>
      <c r="D139" s="677"/>
    </row>
    <row r="140" spans="1:5">
      <c r="A140" s="107" t="s">
        <v>1056</v>
      </c>
      <c r="B140" s="110" t="s">
        <v>1057</v>
      </c>
      <c r="C140" s="115">
        <f>SUM(C141:C143)</f>
        <v>900900000</v>
      </c>
      <c r="D140" s="677">
        <f>SUM(D141:D143)</f>
        <v>14.69011225323151</v>
      </c>
    </row>
    <row r="141" spans="1:5" ht="30">
      <c r="A141" s="113" t="s">
        <v>1058</v>
      </c>
      <c r="B141" s="114" t="s">
        <v>1059</v>
      </c>
      <c r="C141" s="101">
        <f>SUM([12]ESTIMACION!$E$290:$E$294)</f>
        <v>900900000</v>
      </c>
      <c r="D141" s="673">
        <f>C141/$C$150*100</f>
        <v>14.69011225323151</v>
      </c>
    </row>
    <row r="142" spans="1:5" ht="30">
      <c r="A142" s="113" t="s">
        <v>657</v>
      </c>
      <c r="B142" s="114" t="s">
        <v>658</v>
      </c>
      <c r="C142" s="101">
        <f>SUM([12]ESTIMACION!$E$295:$E$301)</f>
        <v>0</v>
      </c>
      <c r="D142" s="673">
        <f>C142/$C$150*100</f>
        <v>0</v>
      </c>
    </row>
    <row r="143" spans="1:5" ht="15">
      <c r="A143" s="377"/>
      <c r="B143" s="377"/>
    </row>
    <row r="144" spans="1:5" ht="15">
      <c r="A144" s="377"/>
      <c r="B144" s="377"/>
    </row>
    <row r="145" spans="1:9" ht="28.5">
      <c r="A145" s="107" t="s">
        <v>654</v>
      </c>
      <c r="B145" s="111" t="s">
        <v>655</v>
      </c>
      <c r="C145" s="120">
        <f>C147</f>
        <v>180000000</v>
      </c>
      <c r="D145" s="679">
        <f>D147</f>
        <v>2.935087363283019</v>
      </c>
    </row>
    <row r="146" spans="1:9">
      <c r="A146" s="107"/>
      <c r="B146" s="111"/>
      <c r="C146" s="115"/>
      <c r="D146" s="677"/>
    </row>
    <row r="147" spans="1:9">
      <c r="A147" s="107" t="s">
        <v>656</v>
      </c>
      <c r="B147" s="110" t="s">
        <v>1050</v>
      </c>
      <c r="C147" s="115">
        <f>[12]ESTIMACION!$F$303</f>
        <v>180000000</v>
      </c>
      <c r="D147" s="677">
        <f>C147/$C$150*100</f>
        <v>2.935087363283019</v>
      </c>
    </row>
    <row r="148" spans="1:9">
      <c r="A148" s="113"/>
      <c r="B148" s="434"/>
    </row>
    <row r="149" spans="1:9" ht="16.5" thickBot="1">
      <c r="A149" s="104"/>
    </row>
    <row r="150" spans="1:9" s="305" customFormat="1" ht="17.25" thickBot="1">
      <c r="A150" s="303"/>
      <c r="B150" s="302" t="s">
        <v>55</v>
      </c>
      <c r="C150" s="304">
        <f>C9+C116+C136</f>
        <v>6132696500</v>
      </c>
      <c r="D150" s="681">
        <f>D9+D116+D136</f>
        <v>100</v>
      </c>
      <c r="E150" s="667">
        <f>[12]ESTIMACION!$F$308</f>
        <v>6132696500</v>
      </c>
      <c r="F150" s="668">
        <f>C150-E150</f>
        <v>0</v>
      </c>
    </row>
    <row r="151" spans="1:9" ht="16.5" thickTop="1">
      <c r="B151" s="102"/>
      <c r="C151" s="102"/>
      <c r="D151" s="682"/>
      <c r="E151" s="669"/>
      <c r="F151" s="669"/>
    </row>
    <row r="152" spans="1:9" ht="17.25" thickBot="1">
      <c r="A152" s="308"/>
      <c r="B152" s="301" t="s">
        <v>1060</v>
      </c>
      <c r="C152" s="309">
        <f>[12]ESTIMACION!$F$271</f>
        <v>1080900000</v>
      </c>
      <c r="D152" s="682"/>
      <c r="E152" s="667">
        <f>[12]ESTIMACION!$F$271</f>
        <v>1080900000</v>
      </c>
      <c r="F152" s="668">
        <f>C152-E152</f>
        <v>0</v>
      </c>
    </row>
    <row r="153" spans="1:9" ht="16.5" thickTop="1">
      <c r="B153" s="102"/>
      <c r="C153" s="102"/>
      <c r="D153" s="682"/>
      <c r="E153" s="669"/>
      <c r="F153" s="669"/>
    </row>
    <row r="154" spans="1:9" s="307" customFormat="1" ht="17.25" thickBot="1">
      <c r="A154" s="306"/>
      <c r="B154" s="122" t="s">
        <v>630</v>
      </c>
      <c r="C154" s="300">
        <f>C150-C152</f>
        <v>5051796500</v>
      </c>
      <c r="D154" s="683"/>
      <c r="E154" s="667">
        <f>[12]ESTIMACION!$F$263</f>
        <v>5051796500</v>
      </c>
      <c r="F154" s="668">
        <f>C154-E154</f>
        <v>0</v>
      </c>
      <c r="I154" s="436"/>
    </row>
    <row r="155" spans="1:9" ht="16.5" thickTop="1">
      <c r="B155" s="102"/>
      <c r="C155" s="102"/>
      <c r="D155" s="682"/>
    </row>
    <row r="156" spans="1:9" thickBot="1">
      <c r="A156" s="308"/>
      <c r="B156" s="301" t="s">
        <v>631</v>
      </c>
      <c r="C156" s="309">
        <f>C154-C160</f>
        <v>363796500</v>
      </c>
      <c r="D156" s="311">
        <f>C156/C160</f>
        <v>7.7601642491467573E-2</v>
      </c>
    </row>
    <row r="157" spans="1:9" ht="16.5" thickTop="1">
      <c r="B157" s="102"/>
      <c r="C157" s="102"/>
      <c r="D157" s="682"/>
    </row>
    <row r="158" spans="1:9" hidden="1"/>
    <row r="159" spans="1:9" hidden="1">
      <c r="C159" s="310">
        <f>C154-[12]ESTIMACION!$F$263</f>
        <v>0</v>
      </c>
    </row>
    <row r="160" spans="1:9" hidden="1">
      <c r="B160" s="326" t="s">
        <v>1071</v>
      </c>
      <c r="C160" s="310">
        <f>[12]ESTIMACION!$F$266</f>
        <v>4688000000</v>
      </c>
      <c r="E160" s="102" t="s">
        <v>1022</v>
      </c>
    </row>
    <row r="161" hidden="1"/>
    <row r="162" hidden="1"/>
  </sheetData>
  <sheetProtection password="AC08" sheet="1"/>
  <mergeCells count="1">
    <mergeCell ref="A4:D4"/>
  </mergeCells>
  <phoneticPr fontId="12" type="noConversion"/>
  <pageMargins left="1.3385826771653544" right="0.23622047244094491" top="0.27559055118110237" bottom="0.79" header="0.19685039370078741" footer="0.39370078740157483"/>
  <pageSetup fitToHeight="7" orientation="portrait" useFirstPageNumber="1" horizontalDpi="120" verticalDpi="144" r:id="rId1"/>
  <headerFooter alignWithMargins="0">
    <oddFooter>&amp;C&amp;"Times New Roman,Negrita"&amp;11Pág. - &amp;P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8D61-2A93-40B1-8355-0A8EA8891B55}">
  <sheetPr codeName="Hoja31"/>
  <dimension ref="A1"/>
  <sheetViews>
    <sheetView workbookViewId="0">
      <selection sqref="A1:IV1"/>
    </sheetView>
  </sheetViews>
  <sheetFormatPr defaultRowHeight="15.75"/>
  <cols>
    <col min="1" max="256" width="11" customWidth="1"/>
  </cols>
  <sheetData>
    <row r="1" s="559" customFormat="1" ht="20.25"/>
  </sheetData>
  <phoneticPr fontId="0" type="noConversion"/>
  <pageMargins left="0.75" right="0.75" top="1" bottom="1" header="0" footer="0"/>
  <pageSetup orientation="portrait" horizontalDpi="360" verticalDpi="36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C4F05-429A-42D3-9693-05195B1A2DCB}">
  <sheetPr codeName="Hoja32"/>
  <dimension ref="A1"/>
  <sheetViews>
    <sheetView workbookViewId="0">
      <selection sqref="A1:IV1"/>
    </sheetView>
  </sheetViews>
  <sheetFormatPr defaultRowHeight="15.75"/>
  <cols>
    <col min="1" max="256" width="11" customWidth="1"/>
  </cols>
  <sheetData>
    <row r="1" s="559" customFormat="1" ht="20.25"/>
  </sheetData>
  <phoneticPr fontId="0" type="noConversion"/>
  <pageMargins left="0.75" right="0.75" top="1" bottom="1" header="0" footer="0"/>
  <pageSetup orientation="portrait" horizontalDpi="360" verticalDpi="36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AD37-6AFB-4A81-A213-87C42AC77429}">
  <sheetPr codeName="Hoja33"/>
  <dimension ref="A1"/>
  <sheetViews>
    <sheetView workbookViewId="0">
      <selection sqref="A1:IV1"/>
    </sheetView>
  </sheetViews>
  <sheetFormatPr defaultRowHeight="15.75"/>
  <cols>
    <col min="1" max="256" width="11" customWidth="1"/>
  </cols>
  <sheetData>
    <row r="1" s="559" customFormat="1" ht="20.25"/>
  </sheetData>
  <phoneticPr fontId="0" type="noConversion"/>
  <pageMargins left="0.75" right="0.75" top="1" bottom="1" header="0" footer="0"/>
  <pageSetup orientation="portrait"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2B431-B994-4423-B74F-7EA07B1BDBB4}">
  <sheetPr codeName="Hoja4"/>
  <dimension ref="A1:V25"/>
  <sheetViews>
    <sheetView zoomScale="80" zoomScaleNormal="80" workbookViewId="0">
      <pane xSplit="2" ySplit="8" topLeftCell="C9" activePane="bottomRight" state="frozen"/>
      <selection pane="topRight" activeCell="C1" sqref="C1"/>
      <selection pane="bottomLeft" activeCell="A9" sqref="A9"/>
      <selection pane="bottomRight" activeCell="C9" sqref="C9"/>
    </sheetView>
  </sheetViews>
  <sheetFormatPr defaultRowHeight="15.75"/>
  <cols>
    <col min="1" max="1" width="3.5" customWidth="1"/>
    <col min="2" max="2" width="27.375" customWidth="1"/>
    <col min="3" max="3" width="16.625" style="19" customWidth="1"/>
    <col min="4" max="4" width="7.5" style="19" customWidth="1"/>
    <col min="5" max="5" width="16.625" style="19" customWidth="1"/>
    <col min="6" max="6" width="16.5" style="19" customWidth="1"/>
    <col min="7" max="7" width="16.125" style="19" customWidth="1"/>
    <col min="8" max="8" width="0.125" style="123" customWidth="1"/>
    <col min="9" max="9" width="17.375" style="312" hidden="1" customWidth="1"/>
    <col min="10" max="10" width="16.125" hidden="1" customWidth="1"/>
    <col min="11" max="11" width="6.75" hidden="1" customWidth="1"/>
    <col min="12" max="12" width="16.125" style="19" hidden="1" customWidth="1"/>
    <col min="13" max="13" width="14.625" style="19" hidden="1" customWidth="1"/>
    <col min="14" max="14" width="17" style="19" hidden="1" customWidth="1"/>
    <col min="15" max="16" width="16.375" style="19" hidden="1" customWidth="1"/>
    <col min="17" max="17" width="16.25" style="19" hidden="1" customWidth="1"/>
    <col min="18" max="18" width="0" hidden="1" customWidth="1"/>
    <col min="19" max="20" width="17.25" style="6" hidden="1" customWidth="1"/>
    <col min="21" max="25" width="0" hidden="1" customWidth="1"/>
    <col min="26" max="256" width="11" customWidth="1"/>
  </cols>
  <sheetData>
    <row r="1" spans="1:22" s="575" customFormat="1" ht="28.5" thickBot="1">
      <c r="A1" s="572" t="s">
        <v>32</v>
      </c>
      <c r="B1" s="572"/>
      <c r="C1" s="573"/>
      <c r="D1" s="573"/>
      <c r="E1" s="573"/>
      <c r="F1" s="573"/>
      <c r="G1" s="573"/>
      <c r="H1" s="574" t="str">
        <f>INGRESOS!D1</f>
        <v>Presupuesto Ordinario 2013</v>
      </c>
      <c r="I1" s="1021" t="s">
        <v>621</v>
      </c>
      <c r="L1" s="1328"/>
      <c r="M1" s="1328"/>
      <c r="N1" s="1328"/>
      <c r="O1" s="1328"/>
      <c r="P1" s="1328"/>
      <c r="Q1" s="1328"/>
      <c r="S1" s="803"/>
      <c r="T1" s="803"/>
    </row>
    <row r="4" spans="1:22" ht="20.25">
      <c r="A4" s="1360" t="s">
        <v>13</v>
      </c>
      <c r="B4" s="1360"/>
      <c r="C4" s="1360"/>
      <c r="D4" s="1360"/>
      <c r="E4" s="1360"/>
      <c r="F4" s="1360"/>
      <c r="G4" s="1360"/>
      <c r="H4" s="1360"/>
    </row>
    <row r="5" spans="1:22" ht="12.75" customHeight="1">
      <c r="A5" s="98"/>
      <c r="B5" s="98"/>
      <c r="C5" s="98"/>
      <c r="D5" s="98"/>
      <c r="E5" s="98"/>
      <c r="F5" s="98"/>
      <c r="G5" s="98"/>
      <c r="H5" s="98"/>
    </row>
    <row r="6" spans="1:22" ht="33.75" customHeight="1">
      <c r="A6" s="1361" t="s">
        <v>1206</v>
      </c>
      <c r="B6" s="1361"/>
      <c r="C6" s="1361"/>
      <c r="D6" s="1361"/>
      <c r="E6" s="1361"/>
      <c r="F6" s="1361"/>
      <c r="G6" s="1361"/>
      <c r="H6" s="1361"/>
      <c r="O6" s="1330">
        <v>0.05</v>
      </c>
      <c r="P6" s="1330">
        <v>0.05</v>
      </c>
      <c r="Q6" s="1330">
        <v>0.05</v>
      </c>
      <c r="R6" s="1326"/>
    </row>
    <row r="7" spans="1:22" ht="34.5" customHeight="1" thickBot="1">
      <c r="B7" s="15"/>
      <c r="C7" s="17"/>
      <c r="D7" s="17"/>
      <c r="E7" s="17"/>
      <c r="F7" s="17"/>
      <c r="G7" s="17"/>
      <c r="L7" s="1336" t="s">
        <v>1632</v>
      </c>
      <c r="M7" s="1337"/>
      <c r="N7" s="1338"/>
      <c r="O7" s="1364" t="s">
        <v>1628</v>
      </c>
      <c r="P7" s="1364"/>
      <c r="Q7" s="1364"/>
      <c r="R7" s="1326"/>
      <c r="S7" s="6" t="s">
        <v>1320</v>
      </c>
    </row>
    <row r="8" spans="1:22" s="418" customFormat="1" ht="78" customHeight="1" thickBot="1">
      <c r="A8" s="416"/>
      <c r="B8" s="417" t="s">
        <v>67</v>
      </c>
      <c r="C8" s="1362" t="s">
        <v>40</v>
      </c>
      <c r="D8" s="1363"/>
      <c r="E8" s="419" t="s">
        <v>663</v>
      </c>
      <c r="F8" s="419" t="s">
        <v>664</v>
      </c>
      <c r="G8" s="419" t="s">
        <v>666</v>
      </c>
      <c r="H8" s="420" t="s">
        <v>665</v>
      </c>
      <c r="I8" s="693">
        <f>[1]GASTOS!$D$339</f>
        <v>6132696500</v>
      </c>
      <c r="J8" s="693">
        <f>I8-C9</f>
        <v>0</v>
      </c>
      <c r="L8" s="1339" t="s">
        <v>1630</v>
      </c>
      <c r="M8" s="1339" t="s">
        <v>1631</v>
      </c>
      <c r="N8" s="1340" t="s">
        <v>1629</v>
      </c>
      <c r="O8" s="1335">
        <v>2014</v>
      </c>
      <c r="P8" s="1329">
        <v>2015</v>
      </c>
      <c r="Q8" s="1329">
        <v>2016</v>
      </c>
      <c r="R8" s="1327"/>
      <c r="S8" s="975">
        <v>2013</v>
      </c>
      <c r="T8" s="975">
        <v>2012</v>
      </c>
      <c r="U8" s="976">
        <v>2011</v>
      </c>
      <c r="V8" s="976">
        <v>2010</v>
      </c>
    </row>
    <row r="9" spans="1:22" s="412" customFormat="1" ht="46.5" customHeight="1">
      <c r="A9" s="411"/>
      <c r="B9" s="427" t="s">
        <v>662</v>
      </c>
      <c r="C9" s="1027">
        <f>SUM(C11:C21)</f>
        <v>6132696500</v>
      </c>
      <c r="D9" s="1028" t="s">
        <v>62</v>
      </c>
      <c r="E9" s="422">
        <f>SUM(E11:E21)</f>
        <v>2011867876.5999999</v>
      </c>
      <c r="F9" s="422">
        <f>SUM(F11:F21)</f>
        <v>1775465736.4000001</v>
      </c>
      <c r="G9" s="422">
        <f>SUM(G11:G21)</f>
        <v>2345362887</v>
      </c>
      <c r="H9" s="423">
        <f>SUM(H11:H21)</f>
        <v>0</v>
      </c>
      <c r="I9" s="693">
        <f>INGRESOS!C150</f>
        <v>6132696500</v>
      </c>
      <c r="J9" s="693">
        <f>I9-C9</f>
        <v>0</v>
      </c>
      <c r="L9" s="422">
        <f t="shared" ref="L9:Q9" si="0">SUM(L12:L21)</f>
        <v>180000000</v>
      </c>
      <c r="M9" s="422">
        <f t="shared" si="0"/>
        <v>900900000</v>
      </c>
      <c r="N9" s="422">
        <f t="shared" si="0"/>
        <v>1080900000</v>
      </c>
      <c r="O9" s="422">
        <f t="shared" si="0"/>
        <v>5304386325</v>
      </c>
      <c r="P9" s="422">
        <f t="shared" si="0"/>
        <v>5569605641.249999</v>
      </c>
      <c r="Q9" s="422">
        <f t="shared" si="0"/>
        <v>5848085923.312501</v>
      </c>
      <c r="S9" s="977">
        <f>SUM(S11:S21)</f>
        <v>0</v>
      </c>
      <c r="T9" s="977">
        <f>SUM(T11:T21)</f>
        <v>5555922130.4499998</v>
      </c>
      <c r="U9" s="977">
        <f>SUM(U11:U21)</f>
        <v>0</v>
      </c>
      <c r="V9" s="977">
        <f>SUM(V11:V21)</f>
        <v>0</v>
      </c>
    </row>
    <row r="10" spans="1:22" s="412" customFormat="1">
      <c r="A10" s="411"/>
      <c r="B10" s="427"/>
      <c r="C10" s="1029">
        <f>SUM(E10:H10)</f>
        <v>1</v>
      </c>
      <c r="D10" s="1030"/>
      <c r="E10" s="691">
        <f>E9/$C$9</f>
        <v>0.32805599895576115</v>
      </c>
      <c r="F10" s="691">
        <f>F9/$C$9</f>
        <v>0.28950816926942335</v>
      </c>
      <c r="G10" s="691">
        <f>G9/$C$9</f>
        <v>0.38243583177481555</v>
      </c>
      <c r="H10" s="798">
        <f>H9/$C$9</f>
        <v>0</v>
      </c>
      <c r="I10" s="413"/>
      <c r="J10" s="658"/>
      <c r="L10" s="1331"/>
      <c r="M10" s="1331"/>
      <c r="N10" s="1331"/>
      <c r="O10" s="1332">
        <f>(C9-N9)+(C9-N9)*$O$6</f>
        <v>5304386325</v>
      </c>
      <c r="P10" s="1332">
        <f>O10+O10*$P$6</f>
        <v>5569605641.25</v>
      </c>
      <c r="Q10" s="1332">
        <f>P10+P10*$Q$6</f>
        <v>5848085923.3125</v>
      </c>
      <c r="S10" s="978">
        <f>(S9-T9)/T9</f>
        <v>-1</v>
      </c>
      <c r="T10" s="978" t="e">
        <f>(T9-U9)/U9</f>
        <v>#DIV/0!</v>
      </c>
      <c r="U10" s="978" t="e">
        <f>(U9-V9)/V9</f>
        <v>#DIV/0!</v>
      </c>
      <c r="V10" s="978" t="e">
        <f>(V9-W9)/W9</f>
        <v>#DIV/0!</v>
      </c>
    </row>
    <row r="11" spans="1:22" s="414" customFormat="1" ht="16.5" customHeight="1">
      <c r="A11" s="327"/>
      <c r="B11" s="415"/>
      <c r="C11" s="1031"/>
      <c r="D11" s="1030"/>
      <c r="E11" s="421"/>
      <c r="F11" s="421"/>
      <c r="G11" s="421"/>
      <c r="H11" s="424"/>
      <c r="I11" s="413"/>
      <c r="L11" s="1333"/>
      <c r="M11" s="1333"/>
      <c r="N11" s="1333"/>
      <c r="O11" s="1332">
        <f>O9-O10</f>
        <v>0</v>
      </c>
      <c r="P11" s="1332">
        <f>P9-P10</f>
        <v>0</v>
      </c>
      <c r="Q11" s="1332">
        <f>Q9-Q10</f>
        <v>0</v>
      </c>
      <c r="S11" s="286"/>
      <c r="T11" s="286"/>
      <c r="U11" s="979"/>
      <c r="V11" s="979"/>
    </row>
    <row r="12" spans="1:22" s="414" customFormat="1" ht="33" customHeight="1">
      <c r="A12" s="327">
        <v>0</v>
      </c>
      <c r="B12" s="415" t="s">
        <v>667</v>
      </c>
      <c r="C12" s="1031">
        <f>SUM(E12:H12)</f>
        <v>2474990121.5999999</v>
      </c>
      <c r="D12" s="1030">
        <f>C12/$C$9</f>
        <v>0.40357290167547016</v>
      </c>
      <c r="E12" s="421">
        <f>[1]GASTOS!$F$9</f>
        <v>1260654457.5999999</v>
      </c>
      <c r="F12" s="421">
        <f>[1]GASTOS!$T$9</f>
        <v>725746426</v>
      </c>
      <c r="G12" s="421">
        <f>[1]GASTOS!$BD$9</f>
        <v>488589238</v>
      </c>
      <c r="H12" s="424">
        <f>[1]GASTOS!$CF$9</f>
        <v>0</v>
      </c>
      <c r="I12" s="413"/>
      <c r="L12" s="1333"/>
      <c r="M12" s="1333"/>
      <c r="N12" s="1333">
        <f>SUM(L12:M12)</f>
        <v>0</v>
      </c>
      <c r="O12" s="1333">
        <f>(C12-N12)+(C12-N12)*$O$6</f>
        <v>2598739627.6799998</v>
      </c>
      <c r="P12" s="1333">
        <f>O12+O12*$P$6</f>
        <v>2728676609.0639997</v>
      </c>
      <c r="Q12" s="1333">
        <f>P12+P12*$Q$6</f>
        <v>2865110439.5171995</v>
      </c>
      <c r="S12" s="286"/>
      <c r="T12" s="286">
        <v>2253601528.8000002</v>
      </c>
      <c r="U12" s="979"/>
      <c r="V12" s="979"/>
    </row>
    <row r="13" spans="1:22" s="414" customFormat="1" ht="33" customHeight="1">
      <c r="A13" s="327">
        <v>1</v>
      </c>
      <c r="B13" s="415" t="s">
        <v>668</v>
      </c>
      <c r="C13" s="1031">
        <f t="shared" ref="C13:C20" si="1">SUM(E13:H13)</f>
        <v>757345863</v>
      </c>
      <c r="D13" s="1030">
        <f t="shared" ref="D13:D20" si="2">C13/$C$9</f>
        <v>0.12349312622922071</v>
      </c>
      <c r="E13" s="421">
        <f>[1]GASTOS!$F$51</f>
        <v>166862783</v>
      </c>
      <c r="F13" s="421">
        <f>[1]GASTOS!$T$51</f>
        <v>319625381</v>
      </c>
      <c r="G13" s="421">
        <f>[1]GASTOS!$BD$51</f>
        <v>270857699</v>
      </c>
      <c r="H13" s="424">
        <f>[1]GASTOS!$CF$51</f>
        <v>0</v>
      </c>
      <c r="I13" s="413"/>
      <c r="L13" s="1333"/>
      <c r="M13" s="1333">
        <v>100000000</v>
      </c>
      <c r="N13" s="1333">
        <f t="shared" ref="N13:N20" si="3">SUM(L13:M13)</f>
        <v>100000000</v>
      </c>
      <c r="O13" s="1333">
        <f t="shared" ref="O13:O20" si="4">(C13-N13)+(C13-N13)*$O$6</f>
        <v>690213156.14999998</v>
      </c>
      <c r="P13" s="1333">
        <f t="shared" ref="P13:P20" si="5">O13+O13*$P$6</f>
        <v>724723813.95749998</v>
      </c>
      <c r="Q13" s="1333">
        <f t="shared" ref="Q13:Q20" si="6">P13+P13*$Q$6</f>
        <v>760960004.655375</v>
      </c>
      <c r="S13" s="286"/>
      <c r="T13" s="286">
        <v>603463217.20000005</v>
      </c>
      <c r="U13" s="979"/>
      <c r="V13" s="979"/>
    </row>
    <row r="14" spans="1:22" s="414" customFormat="1" ht="33" customHeight="1">
      <c r="A14" s="327">
        <v>2</v>
      </c>
      <c r="B14" s="415" t="s">
        <v>669</v>
      </c>
      <c r="C14" s="1031">
        <f t="shared" si="1"/>
        <v>985596883</v>
      </c>
      <c r="D14" s="1030">
        <f t="shared" si="2"/>
        <v>0.16071183092135735</v>
      </c>
      <c r="E14" s="421">
        <f>[1]GASTOS!$F$127</f>
        <v>47900650</v>
      </c>
      <c r="F14" s="421">
        <f>[1]GASTOS!$T$127</f>
        <v>420024283</v>
      </c>
      <c r="G14" s="421">
        <f>[1]GASTOS!$BD$127</f>
        <v>517671950</v>
      </c>
      <c r="H14" s="424">
        <f>[1]GASTOS!$CF$127</f>
        <v>0</v>
      </c>
      <c r="I14" s="413"/>
      <c r="L14" s="1333">
        <v>6000000</v>
      </c>
      <c r="M14" s="1333">
        <v>5000000</v>
      </c>
      <c r="N14" s="1333">
        <f t="shared" si="3"/>
        <v>11000000</v>
      </c>
      <c r="O14" s="1333">
        <f t="shared" si="4"/>
        <v>1023326727.15</v>
      </c>
      <c r="P14" s="1333">
        <f t="shared" si="5"/>
        <v>1074493063.5074999</v>
      </c>
      <c r="Q14" s="1333">
        <f t="shared" si="6"/>
        <v>1128217716.6828749</v>
      </c>
      <c r="S14" s="286"/>
      <c r="T14" s="286">
        <v>825149788</v>
      </c>
      <c r="U14" s="979"/>
      <c r="V14" s="979"/>
    </row>
    <row r="15" spans="1:22" s="414" customFormat="1" ht="33" customHeight="1">
      <c r="A15" s="327">
        <v>3</v>
      </c>
      <c r="B15" s="415" t="s">
        <v>670</v>
      </c>
      <c r="C15" s="1031">
        <f t="shared" si="1"/>
        <v>194398079.40000001</v>
      </c>
      <c r="D15" s="1030">
        <f t="shared" si="2"/>
        <v>3.1698630349634944E-2</v>
      </c>
      <c r="E15" s="421">
        <f>[1]GASTOS!$F$166</f>
        <v>4239000</v>
      </c>
      <c r="F15" s="421">
        <f>[1]GASTOS!$T$166</f>
        <v>190109079.40000001</v>
      </c>
      <c r="G15" s="421">
        <f>[1]GASTOS!$BD$166</f>
        <v>50000</v>
      </c>
      <c r="H15" s="424">
        <f>[1]GASTOS!$CF$166</f>
        <v>0</v>
      </c>
      <c r="I15" s="413"/>
      <c r="L15" s="1333"/>
      <c r="M15" s="1333"/>
      <c r="N15" s="1333">
        <f t="shared" si="3"/>
        <v>0</v>
      </c>
      <c r="O15" s="1333">
        <f t="shared" si="4"/>
        <v>204117983.37</v>
      </c>
      <c r="P15" s="1333">
        <f t="shared" si="5"/>
        <v>214323882.53850001</v>
      </c>
      <c r="Q15" s="1333">
        <f t="shared" si="6"/>
        <v>225040076.665425</v>
      </c>
      <c r="S15" s="286"/>
      <c r="T15" s="286">
        <v>117810510</v>
      </c>
      <c r="U15" s="979"/>
      <c r="V15" s="979"/>
    </row>
    <row r="16" spans="1:22" s="414" customFormat="1" ht="33" customHeight="1">
      <c r="A16" s="327">
        <v>5</v>
      </c>
      <c r="B16" s="415" t="s">
        <v>671</v>
      </c>
      <c r="C16" s="1031">
        <f t="shared" si="1"/>
        <v>1099249712</v>
      </c>
      <c r="D16" s="1030">
        <f t="shared" si="2"/>
        <v>0.17924410771020546</v>
      </c>
      <c r="E16" s="421">
        <f>[1]GASTOS!$F$190</f>
        <v>73601895</v>
      </c>
      <c r="F16" s="421">
        <f>[1]GASTOS!$T$190</f>
        <v>36449817</v>
      </c>
      <c r="G16" s="421">
        <f>[1]GASTOS!$BD$190</f>
        <v>989198000</v>
      </c>
      <c r="H16" s="424">
        <f>[1]GASTOS!$CF$190</f>
        <v>0</v>
      </c>
      <c r="I16" s="413"/>
      <c r="L16" s="1333">
        <v>174000000</v>
      </c>
      <c r="M16" s="1333">
        <v>795900000</v>
      </c>
      <c r="N16" s="1333">
        <f t="shared" si="3"/>
        <v>969900000</v>
      </c>
      <c r="O16" s="1333">
        <f t="shared" si="4"/>
        <v>135817197.59999999</v>
      </c>
      <c r="P16" s="1333">
        <f t="shared" si="5"/>
        <v>142608057.47999999</v>
      </c>
      <c r="Q16" s="1333">
        <f t="shared" si="6"/>
        <v>149738460.354</v>
      </c>
      <c r="S16" s="286"/>
      <c r="T16" s="286">
        <v>979226040.45000005</v>
      </c>
      <c r="U16" s="979"/>
      <c r="V16" s="979"/>
    </row>
    <row r="17" spans="1:22" s="414" customFormat="1" ht="33" customHeight="1">
      <c r="A17" s="327">
        <v>6</v>
      </c>
      <c r="B17" s="415" t="s">
        <v>672</v>
      </c>
      <c r="C17" s="1031">
        <f t="shared" si="1"/>
        <v>449377669</v>
      </c>
      <c r="D17" s="1030">
        <f t="shared" si="2"/>
        <v>7.3275706534637747E-2</v>
      </c>
      <c r="E17" s="421">
        <f>[1]GASTOS!$F$224</f>
        <v>403688669</v>
      </c>
      <c r="F17" s="421">
        <f>[1]GASTOS!$T$224</f>
        <v>13393000</v>
      </c>
      <c r="G17" s="421">
        <f>[1]GASTOS!$BD$224</f>
        <v>32296000</v>
      </c>
      <c r="H17" s="424">
        <f>[1]GASTOS!$CF$224</f>
        <v>0</v>
      </c>
      <c r="I17" s="413"/>
      <c r="L17" s="1333"/>
      <c r="M17" s="1333"/>
      <c r="N17" s="1333">
        <f t="shared" si="3"/>
        <v>0</v>
      </c>
      <c r="O17" s="1333">
        <f t="shared" si="4"/>
        <v>471846552.44999999</v>
      </c>
      <c r="P17" s="1333">
        <f t="shared" si="5"/>
        <v>495438880.07249999</v>
      </c>
      <c r="Q17" s="1333">
        <f t="shared" si="6"/>
        <v>520210824.07612497</v>
      </c>
      <c r="S17" s="286"/>
      <c r="T17" s="286">
        <v>417333253</v>
      </c>
      <c r="U17" s="979"/>
      <c r="V17" s="979"/>
    </row>
    <row r="18" spans="1:22" s="414" customFormat="1" ht="33" customHeight="1">
      <c r="A18" s="327">
        <v>7</v>
      </c>
      <c r="B18" s="415" t="s">
        <v>673</v>
      </c>
      <c r="C18" s="1031">
        <f t="shared" si="1"/>
        <v>13325300</v>
      </c>
      <c r="D18" s="1030">
        <f t="shared" si="2"/>
        <v>2.1728288689975119E-3</v>
      </c>
      <c r="E18" s="421">
        <f>[1]GASTOS!$F$271</f>
        <v>13325300</v>
      </c>
      <c r="F18" s="421">
        <f>[1]GASTOS!$T$271</f>
        <v>0</v>
      </c>
      <c r="G18" s="421">
        <f>[1]GASTOS!$BD$271</f>
        <v>0</v>
      </c>
      <c r="H18" s="424">
        <f>[1]GASTOS!$CF$271</f>
        <v>0</v>
      </c>
      <c r="I18" s="413"/>
      <c r="L18" s="1333"/>
      <c r="M18" s="1333"/>
      <c r="N18" s="1333">
        <f t="shared" si="3"/>
        <v>0</v>
      </c>
      <c r="O18" s="1333">
        <f t="shared" si="4"/>
        <v>13991565</v>
      </c>
      <c r="P18" s="1333">
        <f t="shared" si="5"/>
        <v>14691143.25</v>
      </c>
      <c r="Q18" s="1333">
        <f t="shared" si="6"/>
        <v>15425700.4125</v>
      </c>
      <c r="S18" s="286"/>
      <c r="T18" s="286">
        <v>12607500</v>
      </c>
      <c r="U18" s="979"/>
      <c r="V18" s="979"/>
    </row>
    <row r="19" spans="1:22" s="414" customFormat="1" ht="33" customHeight="1">
      <c r="A19" s="327">
        <v>8</v>
      </c>
      <c r="B19" s="415" t="s">
        <v>674</v>
      </c>
      <c r="C19" s="1031">
        <f t="shared" si="1"/>
        <v>103422000</v>
      </c>
      <c r="D19" s="1030">
        <f t="shared" si="2"/>
        <v>1.6864033626969799E-2</v>
      </c>
      <c r="E19" s="421">
        <f>[1]GASTOS!$F$284</f>
        <v>37658000</v>
      </c>
      <c r="F19" s="421">
        <f>[1]GASTOS!$T$284</f>
        <v>64064000</v>
      </c>
      <c r="G19" s="421">
        <f>[1]GASTOS!$BD$284</f>
        <v>1700000</v>
      </c>
      <c r="H19" s="424">
        <f>[1]GASTOS!$CF$284</f>
        <v>0</v>
      </c>
      <c r="I19" s="413"/>
      <c r="L19" s="1333"/>
      <c r="M19" s="1333"/>
      <c r="N19" s="1333">
        <f t="shared" si="3"/>
        <v>0</v>
      </c>
      <c r="O19" s="1333">
        <f t="shared" si="4"/>
        <v>108593100</v>
      </c>
      <c r="P19" s="1333">
        <f t="shared" si="5"/>
        <v>114022755</v>
      </c>
      <c r="Q19" s="1333">
        <f t="shared" si="6"/>
        <v>119723892.75</v>
      </c>
      <c r="S19" s="286"/>
      <c r="T19" s="286">
        <v>83597882</v>
      </c>
      <c r="U19" s="979"/>
      <c r="V19" s="979"/>
    </row>
    <row r="20" spans="1:22" s="414" customFormat="1" ht="33" customHeight="1">
      <c r="A20" s="327">
        <v>9</v>
      </c>
      <c r="B20" s="415" t="s">
        <v>675</v>
      </c>
      <c r="C20" s="1031">
        <f t="shared" si="1"/>
        <v>54990872</v>
      </c>
      <c r="D20" s="1030">
        <f t="shared" si="2"/>
        <v>8.9668340835063337E-3</v>
      </c>
      <c r="E20" s="421">
        <f>[1]GASTOS!$F$306</f>
        <v>3937122</v>
      </c>
      <c r="F20" s="421">
        <f>[1]GASTOS!$T$306</f>
        <v>6053750</v>
      </c>
      <c r="G20" s="421">
        <f>[1]GASTOS!$BD$306</f>
        <v>45000000</v>
      </c>
      <c r="H20" s="424">
        <f>[1]GASTOS!$CF$306</f>
        <v>0</v>
      </c>
      <c r="I20" s="413"/>
      <c r="L20" s="1333"/>
      <c r="M20" s="1333"/>
      <c r="N20" s="1333">
        <f t="shared" si="3"/>
        <v>0</v>
      </c>
      <c r="O20" s="1333">
        <f t="shared" si="4"/>
        <v>57740415.600000001</v>
      </c>
      <c r="P20" s="1333">
        <f t="shared" si="5"/>
        <v>60627436.380000003</v>
      </c>
      <c r="Q20" s="1333">
        <f t="shared" si="6"/>
        <v>63658808.199000001</v>
      </c>
      <c r="S20" s="286"/>
      <c r="T20" s="286">
        <v>263132411</v>
      </c>
      <c r="U20" s="979"/>
      <c r="V20" s="979"/>
    </row>
    <row r="21" spans="1:22" s="414" customFormat="1" ht="15" customHeight="1">
      <c r="A21" s="328"/>
      <c r="B21" s="391"/>
      <c r="C21" s="1032"/>
      <c r="D21" s="1033"/>
      <c r="E21" s="425"/>
      <c r="F21" s="425"/>
      <c r="G21" s="425"/>
      <c r="H21" s="426"/>
      <c r="I21" s="413"/>
      <c r="L21" s="1334"/>
      <c r="M21" s="1334"/>
      <c r="N21" s="1334"/>
      <c r="O21" s="1334"/>
      <c r="P21" s="1334"/>
      <c r="Q21" s="1334"/>
      <c r="S21" s="980"/>
      <c r="T21" s="980"/>
      <c r="U21" s="981"/>
      <c r="V21" s="981"/>
    </row>
    <row r="24" spans="1:22">
      <c r="C24" s="692">
        <f>[1]GASTOS!$D$338</f>
        <v>0</v>
      </c>
      <c r="D24" s="692"/>
      <c r="E24" s="692">
        <f>[1]GASTOS!$F$338</f>
        <v>0</v>
      </c>
      <c r="F24" s="692">
        <f>[1]GASTOS!$T$338</f>
        <v>0</v>
      </c>
      <c r="G24" s="692">
        <f>[1]GASTOS!$BD$338</f>
        <v>0</v>
      </c>
    </row>
    <row r="25" spans="1:22">
      <c r="C25" s="660">
        <f>C24-C9</f>
        <v>-6132696500</v>
      </c>
      <c r="D25" s="660"/>
      <c r="E25" s="660">
        <f>E24-E9</f>
        <v>-2011867876.5999999</v>
      </c>
      <c r="F25" s="660">
        <f>F24-F9</f>
        <v>-1775465736.4000001</v>
      </c>
      <c r="G25" s="660">
        <f>G24-G9</f>
        <v>-2345362887</v>
      </c>
    </row>
  </sheetData>
  <sheetProtection password="AC08" sheet="1"/>
  <mergeCells count="4">
    <mergeCell ref="A4:H4"/>
    <mergeCell ref="A6:H6"/>
    <mergeCell ref="C8:D8"/>
    <mergeCell ref="O7:Q7"/>
  </mergeCells>
  <phoneticPr fontId="0" type="noConversion"/>
  <printOptions horizontalCentered="1"/>
  <pageMargins left="1.2598425196850394" right="0.15748031496062992" top="0.19685039370078741" bottom="0.78740157480314965" header="0.11811023622047245" footer="0.39370078740157483"/>
  <pageSetup scale="80" orientation="portrait" horizontalDpi="360" verticalDpi="360" r:id="rId1"/>
  <headerFooter alignWithMargins="0">
    <oddFooter>&amp;C&amp;"Times New Roman,Negrita"&amp;13Pág.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85FCA-8FA9-4919-993B-863023C16C02}">
  <sheetPr codeName="Hoja5"/>
  <dimension ref="A1:Q279"/>
  <sheetViews>
    <sheetView showGridLines="0" workbookViewId="0">
      <pane xSplit="2" ySplit="6" topLeftCell="C7" activePane="bottomRight" state="frozen"/>
      <selection sqref="A1:IV1"/>
      <selection pane="topRight" sqref="A1:IV1"/>
      <selection pane="bottomLeft" sqref="A1:IV1"/>
      <selection pane="bottomRight" activeCell="C7" sqref="C7"/>
    </sheetView>
  </sheetViews>
  <sheetFormatPr defaultRowHeight="15.75"/>
  <cols>
    <col min="1" max="1" width="6.75" customWidth="1"/>
    <col min="2" max="2" width="37.875" style="386" customWidth="1"/>
    <col min="3" max="4" width="14.5" style="349" customWidth="1"/>
    <col min="5" max="5" width="15.375" style="349" customWidth="1"/>
    <col min="6" max="6" width="14.625" style="349" customWidth="1"/>
    <col min="7" max="7" width="0.125" style="349" customWidth="1"/>
    <col min="8" max="8" width="14.875" style="6" hidden="1" customWidth="1"/>
    <col min="9" max="9" width="0" style="6" hidden="1" customWidth="1"/>
    <col min="10" max="12" width="0" hidden="1" customWidth="1"/>
    <col min="13" max="13" width="12" hidden="1" customWidth="1"/>
    <col min="14" max="14" width="0" hidden="1" customWidth="1"/>
    <col min="15" max="15" width="16.875" hidden="1" customWidth="1"/>
    <col min="16" max="17" width="16.25" hidden="1" customWidth="1"/>
    <col min="18" max="18" width="0" hidden="1" customWidth="1"/>
    <col min="19" max="256" width="11" customWidth="1"/>
  </cols>
  <sheetData>
    <row r="1" spans="1:17" s="575" customFormat="1" ht="28.5" thickBot="1">
      <c r="A1" s="572" t="s">
        <v>32</v>
      </c>
      <c r="B1" s="572"/>
      <c r="C1" s="580"/>
      <c r="D1" s="580"/>
      <c r="E1" s="580"/>
      <c r="F1" s="581"/>
      <c r="G1" s="581" t="str">
        <f>INGRESOS!D1</f>
        <v>Presupuesto Ordinario 2013</v>
      </c>
      <c r="H1" s="1022" t="s">
        <v>621</v>
      </c>
      <c r="I1" s="803"/>
    </row>
    <row r="2" spans="1:17" s="6" customFormat="1">
      <c r="B2" s="386"/>
      <c r="C2" s="14"/>
      <c r="D2" s="14"/>
      <c r="E2" s="14"/>
      <c r="F2" s="14"/>
      <c r="G2" s="14"/>
    </row>
    <row r="3" spans="1:17" s="6" customFormat="1">
      <c r="B3" s="386"/>
      <c r="C3" s="14"/>
      <c r="D3" s="14"/>
      <c r="E3" s="14"/>
      <c r="F3" s="14"/>
      <c r="G3" s="14"/>
    </row>
    <row r="4" spans="1:17" s="6" customFormat="1" ht="18.75">
      <c r="A4" s="1365" t="s">
        <v>60</v>
      </c>
      <c r="B4" s="1365"/>
      <c r="C4" s="1365"/>
      <c r="D4" s="1365"/>
      <c r="E4" s="1365"/>
      <c r="F4" s="1365"/>
      <c r="G4" s="1365"/>
    </row>
    <row r="5" spans="1:17" s="6" customFormat="1" ht="16.5" thickBot="1">
      <c r="B5" s="387"/>
      <c r="C5" s="14"/>
      <c r="D5" s="14"/>
      <c r="E5" s="14"/>
      <c r="F5" s="14"/>
      <c r="G5" s="14"/>
      <c r="L5" s="19"/>
      <c r="M5" s="19"/>
      <c r="N5" s="19"/>
      <c r="O5" s="1330">
        <v>0.05</v>
      </c>
      <c r="P5" s="1330">
        <v>0.05</v>
      </c>
      <c r="Q5" s="1330">
        <v>0.05</v>
      </c>
    </row>
    <row r="6" spans="1:17" s="350" customFormat="1" ht="30.75" customHeight="1" thickBot="1">
      <c r="A6" s="405" t="s">
        <v>414</v>
      </c>
      <c r="B6" s="406" t="s">
        <v>61</v>
      </c>
      <c r="C6" s="407" t="s">
        <v>413</v>
      </c>
      <c r="D6" s="407" t="s">
        <v>637</v>
      </c>
      <c r="E6" s="407" t="s">
        <v>638</v>
      </c>
      <c r="F6" s="407" t="s">
        <v>639</v>
      </c>
      <c r="G6" s="407" t="s">
        <v>640</v>
      </c>
      <c r="H6" s="783"/>
      <c r="I6" s="783"/>
      <c r="L6" s="1336" t="s">
        <v>1632</v>
      </c>
      <c r="M6" s="1337"/>
      <c r="N6" s="1338"/>
      <c r="O6" s="1364" t="s">
        <v>1628</v>
      </c>
      <c r="P6" s="1364"/>
      <c r="Q6" s="1364"/>
    </row>
    <row r="7" spans="1:17" s="6" customFormat="1" ht="15.75" customHeight="1">
      <c r="A7" s="352"/>
      <c r="B7" s="398"/>
      <c r="C7" s="368"/>
      <c r="D7" s="368"/>
      <c r="E7" s="368"/>
      <c r="F7" s="368"/>
      <c r="G7" s="368"/>
      <c r="L7" s="1339" t="s">
        <v>1630</v>
      </c>
      <c r="M7" s="1339" t="s">
        <v>1631</v>
      </c>
      <c r="N7" s="1340" t="s">
        <v>1629</v>
      </c>
      <c r="O7" s="1335">
        <v>2014</v>
      </c>
      <c r="P7" s="1329">
        <v>2015</v>
      </c>
      <c r="Q7" s="1329">
        <v>2016</v>
      </c>
    </row>
    <row r="8" spans="1:17" s="13" customFormat="1" ht="18.75">
      <c r="A8" s="353">
        <v>0</v>
      </c>
      <c r="B8" s="687" t="s">
        <v>280</v>
      </c>
      <c r="C8" s="369">
        <f>C10+C17+C24+C31+C38</f>
        <v>2474990121.5999999</v>
      </c>
      <c r="D8" s="369">
        <f>D10+D17+D24+D31+D38</f>
        <v>1260654457.5999999</v>
      </c>
      <c r="E8" s="369">
        <f>E10+E17+E24+E31+E38</f>
        <v>725746426</v>
      </c>
      <c r="F8" s="369">
        <f>F10+F17+F24+F31+F38</f>
        <v>488589238</v>
      </c>
      <c r="G8" s="369">
        <f>G10+G17+G24+G31+G38</f>
        <v>0</v>
      </c>
      <c r="H8" s="784">
        <f>[1]GASTOS!$D$9</f>
        <v>2474990121.5999999</v>
      </c>
      <c r="I8" s="784">
        <f>H8-C8</f>
        <v>0</v>
      </c>
      <c r="L8" s="422"/>
      <c r="M8" s="422"/>
      <c r="N8" s="422"/>
      <c r="O8" s="422"/>
      <c r="P8" s="422"/>
      <c r="Q8" s="422"/>
    </row>
    <row r="9" spans="1:17" s="6" customFormat="1">
      <c r="A9" s="354"/>
      <c r="B9" s="394"/>
      <c r="C9" s="370"/>
      <c r="D9" s="370"/>
      <c r="E9" s="370"/>
      <c r="F9" s="370"/>
      <c r="G9" s="370"/>
      <c r="L9" s="1331"/>
      <c r="M9" s="1331"/>
      <c r="N9" s="1331"/>
      <c r="O9" s="1332"/>
      <c r="P9" s="1332"/>
      <c r="Q9" s="1332"/>
    </row>
    <row r="10" spans="1:17" s="13" customFormat="1">
      <c r="A10" s="355" t="s">
        <v>1152</v>
      </c>
      <c r="B10" s="396" t="str">
        <f>VLOOKUP(A10,Catálogo!$B$3:$C$288,2,0)</f>
        <v>REMUNERACIONES BÁSICAS</v>
      </c>
      <c r="C10" s="371">
        <f>SUM(C11:C15)</f>
        <v>1248367350</v>
      </c>
      <c r="D10" s="371">
        <f>SUM(D11:D15)</f>
        <v>582574208</v>
      </c>
      <c r="E10" s="371">
        <f>SUM(E11:E15)</f>
        <v>399262449</v>
      </c>
      <c r="F10" s="371">
        <f>SUM(F11:F15)</f>
        <v>266530693</v>
      </c>
      <c r="G10" s="371">
        <f>SUM(G11:G15)</f>
        <v>0</v>
      </c>
      <c r="L10" s="1333"/>
      <c r="M10" s="1333"/>
      <c r="N10" s="1333"/>
      <c r="O10" s="1332"/>
      <c r="P10" s="1332"/>
      <c r="Q10" s="1332"/>
    </row>
    <row r="11" spans="1:17" s="6" customFormat="1">
      <c r="A11" s="356" t="s">
        <v>323</v>
      </c>
      <c r="B11" s="430" t="str">
        <f>VLOOKUP(A11,Catálogo!$B$3:$C$288,2,0)</f>
        <v xml:space="preserve">Sueldos para cargos fijos </v>
      </c>
      <c r="C11" s="370">
        <f>SUM(D11:G11)</f>
        <v>1144795408</v>
      </c>
      <c r="D11" s="370">
        <f>[1]GASTOS!F12</f>
        <v>533279808</v>
      </c>
      <c r="E11" s="370">
        <f>[1]GASTOS!T12</f>
        <v>370989600</v>
      </c>
      <c r="F11" s="370">
        <f>[1]GASTOS!BD12</f>
        <v>240526000</v>
      </c>
      <c r="G11" s="370">
        <f>[1]GASTOS!CF12</f>
        <v>0</v>
      </c>
      <c r="L11" s="1333"/>
      <c r="M11" s="1333"/>
      <c r="N11" s="1333">
        <f>SUM(L11:M11)</f>
        <v>0</v>
      </c>
      <c r="O11" s="1333">
        <f>(C11-N11)+(C11-N11)*$O$5</f>
        <v>1202035178.4000001</v>
      </c>
      <c r="P11" s="1333">
        <f>O11+O11*$P$5</f>
        <v>1262136937.3200002</v>
      </c>
      <c r="Q11" s="1333">
        <f>P11+P11*$Q$5</f>
        <v>1325243784.1860001</v>
      </c>
    </row>
    <row r="12" spans="1:17" s="6" customFormat="1">
      <c r="A12" s="356" t="s">
        <v>325</v>
      </c>
      <c r="B12" s="430" t="str">
        <f>VLOOKUP(A12,Catálogo!$B$3:$C$288,2,0)</f>
        <v>Jornales</v>
      </c>
      <c r="C12" s="370">
        <f>SUM(D12:G12)</f>
        <v>22683892</v>
      </c>
      <c r="D12" s="370">
        <f>[1]GASTOS!F13</f>
        <v>0</v>
      </c>
      <c r="E12" s="370">
        <f>[1]GASTOS!T13</f>
        <v>2679199</v>
      </c>
      <c r="F12" s="370">
        <f>[1]GASTOS!BD13</f>
        <v>20004693</v>
      </c>
      <c r="G12" s="370">
        <f>[1]GASTOS!CF13</f>
        <v>0</v>
      </c>
      <c r="L12" s="1333"/>
      <c r="M12" s="1333"/>
      <c r="N12" s="1333">
        <f t="shared" ref="N12:N75" si="0">SUM(L12:M12)</f>
        <v>0</v>
      </c>
      <c r="O12" s="1333">
        <f t="shared" ref="O12:O73" si="1">(C12-N12)+(C12-N12)*$O$5</f>
        <v>23818086.600000001</v>
      </c>
      <c r="P12" s="1333">
        <f t="shared" ref="P12:P73" si="2">O12+O12*$P$5</f>
        <v>25008990.93</v>
      </c>
      <c r="Q12" s="1333">
        <f t="shared" ref="Q12:Q73" si="3">P12+P12*$Q$5</f>
        <v>26259440.476500001</v>
      </c>
    </row>
    <row r="13" spans="1:17" s="6" customFormat="1">
      <c r="A13" s="356" t="s">
        <v>327</v>
      </c>
      <c r="B13" s="430" t="str">
        <f>VLOOKUP(A13,Catálogo!$B$3:$C$288,2,0)</f>
        <v>Servicios especiales</v>
      </c>
      <c r="C13" s="370">
        <f>SUM(D13:G13)</f>
        <v>53388050</v>
      </c>
      <c r="D13" s="370">
        <f>[1]GASTOS!F14</f>
        <v>40244400</v>
      </c>
      <c r="E13" s="370">
        <f>[1]GASTOS!T14</f>
        <v>13143650</v>
      </c>
      <c r="F13" s="370">
        <f>[1]GASTOS!BD14</f>
        <v>0</v>
      </c>
      <c r="G13" s="370">
        <f>[1]GASTOS!CF14</f>
        <v>0</v>
      </c>
      <c r="L13" s="1333"/>
      <c r="M13" s="1333"/>
      <c r="N13" s="1333">
        <f t="shared" si="0"/>
        <v>0</v>
      </c>
      <c r="O13" s="1333">
        <f t="shared" si="1"/>
        <v>56057452.5</v>
      </c>
      <c r="P13" s="1333">
        <f t="shared" si="2"/>
        <v>58860325.125</v>
      </c>
      <c r="Q13" s="1333">
        <f t="shared" si="3"/>
        <v>61803341.381250001</v>
      </c>
    </row>
    <row r="14" spans="1:17" s="6" customFormat="1" hidden="1">
      <c r="A14" s="356" t="s">
        <v>679</v>
      </c>
      <c r="B14" s="430" t="str">
        <f>VLOOKUP(A14,Catálogo!$B$3:$C$288,2,0)</f>
        <v>Sueldos a base de comisión</v>
      </c>
      <c r="C14" s="370">
        <f>SUM(D14:G14)</f>
        <v>0</v>
      </c>
      <c r="D14" s="370">
        <f>[1]GASTOS!F15</f>
        <v>0</v>
      </c>
      <c r="E14" s="370">
        <f>[1]GASTOS!T15</f>
        <v>0</v>
      </c>
      <c r="F14" s="370">
        <f>[1]GASTOS!BD15</f>
        <v>0</v>
      </c>
      <c r="G14" s="370">
        <f>[1]GASTOS!CF15</f>
        <v>0</v>
      </c>
      <c r="L14" s="1333"/>
      <c r="M14" s="1333"/>
      <c r="N14" s="1333">
        <f t="shared" si="0"/>
        <v>0</v>
      </c>
      <c r="O14" s="1333">
        <f t="shared" si="1"/>
        <v>0</v>
      </c>
      <c r="P14" s="1333">
        <f t="shared" si="2"/>
        <v>0</v>
      </c>
      <c r="Q14" s="1333">
        <f t="shared" si="3"/>
        <v>0</v>
      </c>
    </row>
    <row r="15" spans="1:17" s="6" customFormat="1">
      <c r="A15" s="356" t="s">
        <v>328</v>
      </c>
      <c r="B15" s="430" t="str">
        <f>VLOOKUP(A15,Catálogo!$B$3:$C$288,2,0)</f>
        <v xml:space="preserve">Suplencias </v>
      </c>
      <c r="C15" s="370">
        <f>SUM(D15:G15)</f>
        <v>27500000</v>
      </c>
      <c r="D15" s="370">
        <f>[1]GASTOS!F16</f>
        <v>9050000</v>
      </c>
      <c r="E15" s="370">
        <f>[1]GASTOS!T16</f>
        <v>12450000</v>
      </c>
      <c r="F15" s="370">
        <f>[1]GASTOS!BD16</f>
        <v>6000000</v>
      </c>
      <c r="G15" s="370">
        <f>[1]GASTOS!CF16</f>
        <v>0</v>
      </c>
      <c r="L15" s="1333"/>
      <c r="M15" s="1333"/>
      <c r="N15" s="1333">
        <f t="shared" si="0"/>
        <v>0</v>
      </c>
      <c r="O15" s="1333">
        <f t="shared" si="1"/>
        <v>28875000</v>
      </c>
      <c r="P15" s="1333">
        <f t="shared" si="2"/>
        <v>30318750</v>
      </c>
      <c r="Q15" s="1333">
        <f t="shared" si="3"/>
        <v>31834687.5</v>
      </c>
    </row>
    <row r="16" spans="1:17" s="6" customFormat="1">
      <c r="A16" s="356"/>
      <c r="B16" s="394"/>
      <c r="C16" s="370"/>
      <c r="D16" s="370"/>
      <c r="E16" s="370"/>
      <c r="F16" s="370"/>
      <c r="G16" s="370"/>
      <c r="L16" s="1333"/>
      <c r="M16" s="1333"/>
      <c r="N16" s="1333">
        <f t="shared" si="0"/>
        <v>0</v>
      </c>
      <c r="O16" s="1333"/>
      <c r="P16" s="1333"/>
      <c r="Q16" s="1333"/>
    </row>
    <row r="17" spans="1:17" s="6" customFormat="1">
      <c r="A17" s="355" t="s">
        <v>330</v>
      </c>
      <c r="B17" s="396" t="str">
        <f>VLOOKUP(A17,Catálogo!$B$3:$C$288,2,0)</f>
        <v>REMUNERACIONES EVENTUALES</v>
      </c>
      <c r="C17" s="371">
        <f>SUM(C18:C22)</f>
        <v>95244985.599999994</v>
      </c>
      <c r="D17" s="371">
        <f>SUM(D18:D22)</f>
        <v>58744985.600000001</v>
      </c>
      <c r="E17" s="371">
        <f>SUM(E18:E22)</f>
        <v>16000000</v>
      </c>
      <c r="F17" s="371">
        <f>SUM(F18:F22)</f>
        <v>20500000</v>
      </c>
      <c r="G17" s="371">
        <f>SUM(G18:G22)</f>
        <v>0</v>
      </c>
      <c r="L17" s="1333"/>
      <c r="M17" s="1333"/>
      <c r="N17" s="1333">
        <f t="shared" si="0"/>
        <v>0</v>
      </c>
      <c r="O17" s="1333"/>
      <c r="P17" s="1333"/>
      <c r="Q17" s="1333"/>
    </row>
    <row r="18" spans="1:17" s="6" customFormat="1">
      <c r="A18" s="356" t="s">
        <v>332</v>
      </c>
      <c r="B18" s="430" t="str">
        <f>VLOOKUP(A18,Catálogo!$B$3:$C$288,2,0)</f>
        <v>Tiempo extraordinario</v>
      </c>
      <c r="C18" s="370">
        <f>SUM(D18:G18)</f>
        <v>37250000</v>
      </c>
      <c r="D18" s="370">
        <f>[1]GASTOS!F19</f>
        <v>2450000</v>
      </c>
      <c r="E18" s="370">
        <f>[1]GASTOS!T19</f>
        <v>14800000</v>
      </c>
      <c r="F18" s="370">
        <f>[1]GASTOS!BD19</f>
        <v>20000000</v>
      </c>
      <c r="G18" s="370">
        <f>[1]GASTOS!CF19</f>
        <v>0</v>
      </c>
      <c r="L18" s="1333"/>
      <c r="M18" s="1333"/>
      <c r="N18" s="1333">
        <f t="shared" si="0"/>
        <v>0</v>
      </c>
      <c r="O18" s="1333">
        <f t="shared" si="1"/>
        <v>39112500</v>
      </c>
      <c r="P18" s="1333">
        <f t="shared" si="2"/>
        <v>41068125</v>
      </c>
      <c r="Q18" s="1333">
        <f t="shared" si="3"/>
        <v>43121531.25</v>
      </c>
    </row>
    <row r="19" spans="1:17" s="6" customFormat="1">
      <c r="A19" s="356" t="s">
        <v>334</v>
      </c>
      <c r="B19" s="430" t="str">
        <f>VLOOKUP(A19,Catálogo!$B$3:$C$288,2,0)</f>
        <v>Recargo de funciones</v>
      </c>
      <c r="C19" s="370">
        <f>SUM(D19:G19)</f>
        <v>3650000</v>
      </c>
      <c r="D19" s="370">
        <f>[1]GASTOS!F20</f>
        <v>1950000</v>
      </c>
      <c r="E19" s="370">
        <f>[1]GASTOS!T20</f>
        <v>1200000</v>
      </c>
      <c r="F19" s="370">
        <f>[1]GASTOS!BD20</f>
        <v>500000</v>
      </c>
      <c r="G19" s="370">
        <f>[1]GASTOS!CF20</f>
        <v>0</v>
      </c>
      <c r="L19" s="1333"/>
      <c r="M19" s="1333"/>
      <c r="N19" s="1333">
        <f t="shared" si="0"/>
        <v>0</v>
      </c>
      <c r="O19" s="1333">
        <f t="shared" si="1"/>
        <v>3832500</v>
      </c>
      <c r="P19" s="1333">
        <f t="shared" si="2"/>
        <v>4024125</v>
      </c>
      <c r="Q19" s="1333">
        <f t="shared" si="3"/>
        <v>4225331.25</v>
      </c>
    </row>
    <row r="20" spans="1:17" s="6" customFormat="1" hidden="1">
      <c r="A20" s="356" t="s">
        <v>681</v>
      </c>
      <c r="B20" s="430" t="str">
        <f>VLOOKUP(A20,Catálogo!$B$3:$C$288,2,0)</f>
        <v>Disponibilidad laboral</v>
      </c>
      <c r="C20" s="370">
        <f>SUM(D20:G20)</f>
        <v>0</v>
      </c>
      <c r="D20" s="370">
        <f>[1]GASTOS!F21</f>
        <v>0</v>
      </c>
      <c r="E20" s="370">
        <f>[1]GASTOS!T21</f>
        <v>0</v>
      </c>
      <c r="F20" s="370">
        <f>[1]GASTOS!BD21</f>
        <v>0</v>
      </c>
      <c r="G20" s="370">
        <f>[1]GASTOS!CF21</f>
        <v>0</v>
      </c>
      <c r="L20" s="1333"/>
      <c r="M20" s="1333"/>
      <c r="N20" s="1333">
        <f t="shared" si="0"/>
        <v>0</v>
      </c>
      <c r="O20" s="1333">
        <f t="shared" si="1"/>
        <v>0</v>
      </c>
      <c r="P20" s="1333">
        <f t="shared" si="2"/>
        <v>0</v>
      </c>
      <c r="Q20" s="1333">
        <f t="shared" si="3"/>
        <v>0</v>
      </c>
    </row>
    <row r="21" spans="1:17" s="6" customFormat="1" hidden="1">
      <c r="A21" s="356" t="s">
        <v>683</v>
      </c>
      <c r="B21" s="430" t="str">
        <f>VLOOKUP(A21,Catálogo!$B$3:$C$288,2,0)</f>
        <v>Compensación de vacaciones</v>
      </c>
      <c r="C21" s="370">
        <f>SUM(D21:G21)</f>
        <v>0</v>
      </c>
      <c r="D21" s="370">
        <f>[1]GASTOS!F22</f>
        <v>0</v>
      </c>
      <c r="E21" s="370">
        <f>[1]GASTOS!T22</f>
        <v>0</v>
      </c>
      <c r="F21" s="370">
        <f>[1]GASTOS!BD22</f>
        <v>0</v>
      </c>
      <c r="G21" s="370">
        <f>[1]GASTOS!CF22</f>
        <v>0</v>
      </c>
      <c r="L21" s="1333"/>
      <c r="M21" s="1333"/>
      <c r="N21" s="1333">
        <f t="shared" si="0"/>
        <v>0</v>
      </c>
      <c r="O21" s="1333">
        <f t="shared" si="1"/>
        <v>0</v>
      </c>
      <c r="P21" s="1333">
        <f t="shared" si="2"/>
        <v>0</v>
      </c>
      <c r="Q21" s="1333">
        <f t="shared" si="3"/>
        <v>0</v>
      </c>
    </row>
    <row r="22" spans="1:17" s="6" customFormat="1">
      <c r="A22" s="356" t="s">
        <v>335</v>
      </c>
      <c r="B22" s="430" t="str">
        <f>VLOOKUP(A22,Catálogo!$B$3:$C$288,2,0)</f>
        <v>Dietas</v>
      </c>
      <c r="C22" s="370">
        <f>SUM(D22:G22)</f>
        <v>54344985.600000001</v>
      </c>
      <c r="D22" s="370">
        <f>[1]GASTOS!F23</f>
        <v>54344985.600000001</v>
      </c>
      <c r="E22" s="370">
        <f>[1]GASTOS!T23</f>
        <v>0</v>
      </c>
      <c r="F22" s="370">
        <f>[1]GASTOS!BD23</f>
        <v>0</v>
      </c>
      <c r="G22" s="370">
        <f>[1]GASTOS!CF23</f>
        <v>0</v>
      </c>
      <c r="L22" s="1333"/>
      <c r="M22" s="1333"/>
      <c r="N22" s="1333">
        <f t="shared" si="0"/>
        <v>0</v>
      </c>
      <c r="O22" s="1333">
        <f t="shared" si="1"/>
        <v>57062234.880000003</v>
      </c>
      <c r="P22" s="1333">
        <f t="shared" si="2"/>
        <v>59915346.624000005</v>
      </c>
      <c r="Q22" s="1333">
        <f t="shared" si="3"/>
        <v>62911113.955200009</v>
      </c>
    </row>
    <row r="23" spans="1:17" s="6" customFormat="1">
      <c r="A23" s="356"/>
      <c r="B23" s="394"/>
      <c r="C23" s="370"/>
      <c r="D23" s="370"/>
      <c r="E23" s="370"/>
      <c r="F23" s="370"/>
      <c r="G23" s="370"/>
      <c r="L23" s="1333"/>
      <c r="M23" s="1333"/>
      <c r="N23" s="1333">
        <f t="shared" si="0"/>
        <v>0</v>
      </c>
      <c r="O23" s="1333"/>
      <c r="P23" s="1333"/>
      <c r="Q23" s="1333"/>
    </row>
    <row r="24" spans="1:17" s="6" customFormat="1">
      <c r="A24" s="355" t="s">
        <v>336</v>
      </c>
      <c r="B24" s="396" t="str">
        <f>VLOOKUP(A24,Catálogo!$B$3:$C$288,2,0)</f>
        <v>INCENTIVOS SALARIALES</v>
      </c>
      <c r="C24" s="371">
        <f>SUM(C25:C29)</f>
        <v>688974632</v>
      </c>
      <c r="D24" s="371">
        <f>SUM(D25:D29)</f>
        <v>399710779</v>
      </c>
      <c r="E24" s="371">
        <f>SUM(E25:E29)</f>
        <v>176720010</v>
      </c>
      <c r="F24" s="371">
        <f>SUM(F25:F29)</f>
        <v>112543843</v>
      </c>
      <c r="G24" s="371">
        <f>SUM(G25:G29)</f>
        <v>0</v>
      </c>
      <c r="L24" s="1333"/>
      <c r="M24" s="1333"/>
      <c r="N24" s="1333">
        <f t="shared" si="0"/>
        <v>0</v>
      </c>
      <c r="O24" s="1333"/>
      <c r="P24" s="1333"/>
      <c r="Q24" s="1333"/>
    </row>
    <row r="25" spans="1:17" s="6" customFormat="1">
      <c r="A25" s="356" t="s">
        <v>338</v>
      </c>
      <c r="B25" s="430" t="str">
        <f>VLOOKUP(A25,Catálogo!$B$3:$C$288,2,0)</f>
        <v>Retribución por años servidos</v>
      </c>
      <c r="C25" s="370">
        <f>SUM(D25:G25)</f>
        <v>327512020</v>
      </c>
      <c r="D25" s="370">
        <f>[1]GASTOS!F26</f>
        <v>161816263</v>
      </c>
      <c r="E25" s="370">
        <f>[1]GASTOS!T26</f>
        <v>103124382</v>
      </c>
      <c r="F25" s="370">
        <f>[1]GASTOS!BD26</f>
        <v>62571375</v>
      </c>
      <c r="G25" s="370">
        <f>[1]GASTOS!CF26</f>
        <v>0</v>
      </c>
      <c r="L25" s="1333"/>
      <c r="M25" s="1333"/>
      <c r="N25" s="1333">
        <f t="shared" si="0"/>
        <v>0</v>
      </c>
      <c r="O25" s="1333">
        <f t="shared" si="1"/>
        <v>343887621</v>
      </c>
      <c r="P25" s="1333">
        <f t="shared" si="2"/>
        <v>361082002.05000001</v>
      </c>
      <c r="Q25" s="1333">
        <f t="shared" si="3"/>
        <v>379136102.15250003</v>
      </c>
    </row>
    <row r="26" spans="1:17" s="6" customFormat="1">
      <c r="A26" s="356" t="s">
        <v>340</v>
      </c>
      <c r="B26" s="430" t="str">
        <f>VLOOKUP(A26,Catálogo!$B$3:$C$288,2,0)</f>
        <v>Restricción al ejercicio liberal de la profesión</v>
      </c>
      <c r="C26" s="370">
        <f>SUM(D26:G26)</f>
        <v>167793912</v>
      </c>
      <c r="D26" s="370">
        <f>[1]GASTOS!F27</f>
        <v>133698612</v>
      </c>
      <c r="E26" s="370">
        <f>[1]GASTOS!T27</f>
        <v>20372580</v>
      </c>
      <c r="F26" s="370">
        <f>[1]GASTOS!BD27</f>
        <v>13722720</v>
      </c>
      <c r="G26" s="370">
        <f>[1]GASTOS!CF27</f>
        <v>0</v>
      </c>
      <c r="L26" s="1333"/>
      <c r="M26" s="1333"/>
      <c r="N26" s="1333">
        <f t="shared" si="0"/>
        <v>0</v>
      </c>
      <c r="O26" s="1333">
        <f t="shared" si="1"/>
        <v>176183607.59999999</v>
      </c>
      <c r="P26" s="1333">
        <f t="shared" si="2"/>
        <v>184992787.97999999</v>
      </c>
      <c r="Q26" s="1333">
        <f t="shared" si="3"/>
        <v>194242427.37899998</v>
      </c>
    </row>
    <row r="27" spans="1:17" s="6" customFormat="1">
      <c r="A27" s="356" t="s">
        <v>342</v>
      </c>
      <c r="B27" s="430" t="str">
        <f>VLOOKUP(A27,Catálogo!$B$3:$C$288,2,0)</f>
        <v>Decimotercer mes</v>
      </c>
      <c r="C27" s="370">
        <f>SUM(D27:G27)</f>
        <v>152166856</v>
      </c>
      <c r="D27" s="370">
        <f>[1]GASTOS!F28</f>
        <v>75896046</v>
      </c>
      <c r="E27" s="370">
        <f>[1]GASTOS!T28</f>
        <v>45535440</v>
      </c>
      <c r="F27" s="370">
        <f>[1]GASTOS!BD28</f>
        <v>30735370</v>
      </c>
      <c r="G27" s="370">
        <f>[1]GASTOS!CF28</f>
        <v>0</v>
      </c>
      <c r="L27" s="1333"/>
      <c r="M27" s="1333"/>
      <c r="N27" s="1333">
        <f t="shared" si="0"/>
        <v>0</v>
      </c>
      <c r="O27" s="1333">
        <f t="shared" si="1"/>
        <v>159775198.80000001</v>
      </c>
      <c r="P27" s="1333">
        <f t="shared" si="2"/>
        <v>167763958.74000001</v>
      </c>
      <c r="Q27" s="1333">
        <f t="shared" si="3"/>
        <v>176152156.67700002</v>
      </c>
    </row>
    <row r="28" spans="1:17" s="6" customFormat="1" hidden="1">
      <c r="A28" s="356" t="s">
        <v>685</v>
      </c>
      <c r="B28" s="430" t="str">
        <f>VLOOKUP(A28,Catálogo!$B$3:$C$288,2,0)</f>
        <v>Salario escolar</v>
      </c>
      <c r="C28" s="370">
        <f>SUM(D28:G28)</f>
        <v>0</v>
      </c>
      <c r="D28" s="370">
        <f>[1]GASTOS!F29</f>
        <v>0</v>
      </c>
      <c r="E28" s="370">
        <f>[1]GASTOS!T29</f>
        <v>0</v>
      </c>
      <c r="F28" s="370">
        <f>[1]GASTOS!BD29</f>
        <v>0</v>
      </c>
      <c r="G28" s="370">
        <f>[1]GASTOS!CF29</f>
        <v>0</v>
      </c>
      <c r="L28" s="1333"/>
      <c r="M28" s="1333"/>
      <c r="N28" s="1333">
        <f t="shared" si="0"/>
        <v>0</v>
      </c>
      <c r="O28" s="1333">
        <f t="shared" si="1"/>
        <v>0</v>
      </c>
      <c r="P28" s="1333">
        <f t="shared" si="2"/>
        <v>0</v>
      </c>
      <c r="Q28" s="1333">
        <f t="shared" si="3"/>
        <v>0</v>
      </c>
    </row>
    <row r="29" spans="1:17" s="6" customFormat="1">
      <c r="A29" s="356" t="s">
        <v>343</v>
      </c>
      <c r="B29" s="430" t="str">
        <f>VLOOKUP(A29,Catálogo!$B$3:$C$288,2,0)</f>
        <v>Otros incentivos salariales</v>
      </c>
      <c r="C29" s="370">
        <f>SUM(D29:G29)</f>
        <v>41501844</v>
      </c>
      <c r="D29" s="370">
        <f>[1]GASTOS!F30</f>
        <v>28299858</v>
      </c>
      <c r="E29" s="370">
        <f>[1]GASTOS!T30</f>
        <v>7687608</v>
      </c>
      <c r="F29" s="370">
        <f>[1]GASTOS!BD30</f>
        <v>5514378</v>
      </c>
      <c r="G29" s="370">
        <f>[1]GASTOS!CF30</f>
        <v>0</v>
      </c>
      <c r="L29" s="1333"/>
      <c r="M29" s="1333"/>
      <c r="N29" s="1333">
        <f t="shared" si="0"/>
        <v>0</v>
      </c>
      <c r="O29" s="1333">
        <f t="shared" si="1"/>
        <v>43576936.200000003</v>
      </c>
      <c r="P29" s="1333">
        <f t="shared" si="2"/>
        <v>45755783.010000005</v>
      </c>
      <c r="Q29" s="1333">
        <f t="shared" si="3"/>
        <v>48043572.160500005</v>
      </c>
    </row>
    <row r="30" spans="1:17" s="6" customFormat="1">
      <c r="A30" s="356"/>
      <c r="B30" s="394"/>
      <c r="C30" s="370"/>
      <c r="D30" s="370"/>
      <c r="E30" s="370"/>
      <c r="F30" s="370"/>
      <c r="G30" s="370"/>
      <c r="L30" s="1333"/>
      <c r="M30" s="1333"/>
      <c r="N30" s="1333">
        <f t="shared" si="0"/>
        <v>0</v>
      </c>
      <c r="O30" s="1333"/>
      <c r="P30" s="1333"/>
      <c r="Q30" s="1333"/>
    </row>
    <row r="31" spans="1:17" s="6" customFormat="1" ht="24.75">
      <c r="A31" s="357" t="s">
        <v>345</v>
      </c>
      <c r="B31" s="396" t="str">
        <f>VLOOKUP(A31,Catálogo!$B$3:$C$288,2,0)</f>
        <v>CONTRIBUCIONES PATRONALES AL DESARROLLO Y LA SEGURIDAD SOCIAL</v>
      </c>
      <c r="C31" s="371">
        <f>SUM(C32:C36)</f>
        <v>178042362</v>
      </c>
      <c r="D31" s="371">
        <f>SUM(D32:D36)</f>
        <v>88801930</v>
      </c>
      <c r="E31" s="371">
        <f>SUM(E32:E36)</f>
        <v>53278609</v>
      </c>
      <c r="F31" s="371">
        <f>SUM(F32:F36)</f>
        <v>35961823</v>
      </c>
      <c r="G31" s="371">
        <f>SUM(G32:G36)</f>
        <v>0</v>
      </c>
      <c r="L31" s="1333"/>
      <c r="M31" s="1333"/>
      <c r="N31" s="1333">
        <f t="shared" si="0"/>
        <v>0</v>
      </c>
      <c r="O31" s="1333"/>
      <c r="P31" s="1333"/>
      <c r="Q31" s="1333"/>
    </row>
    <row r="32" spans="1:17" s="6" customFormat="1" ht="24.75">
      <c r="A32" s="356" t="s">
        <v>347</v>
      </c>
      <c r="B32" s="430" t="str">
        <f>VLOOKUP(A32,Catálogo!$B$3:$C$288,2,0)</f>
        <v>Contribución Patronal al Seguro de Salud de la Caja Costarricense de Seguro Social</v>
      </c>
      <c r="C32" s="370">
        <f>SUM(D32:G32)</f>
        <v>168911968</v>
      </c>
      <c r="D32" s="370">
        <f>[1]GASTOS!F33</f>
        <v>84247981</v>
      </c>
      <c r="E32" s="370">
        <f>[1]GASTOS!T33</f>
        <v>50546362</v>
      </c>
      <c r="F32" s="370">
        <f>[1]GASTOS!BD33</f>
        <v>34117625</v>
      </c>
      <c r="G32" s="370">
        <f>[1]GASTOS!CF33</f>
        <v>0</v>
      </c>
      <c r="L32" s="1333"/>
      <c r="M32" s="1333"/>
      <c r="N32" s="1333">
        <f t="shared" si="0"/>
        <v>0</v>
      </c>
      <c r="O32" s="1333">
        <f t="shared" si="1"/>
        <v>177357566.40000001</v>
      </c>
      <c r="P32" s="1333">
        <f t="shared" si="2"/>
        <v>186225444.72</v>
      </c>
      <c r="Q32" s="1333">
        <f t="shared" si="3"/>
        <v>195536716.956</v>
      </c>
    </row>
    <row r="33" spans="1:17" s="6" customFormat="1" ht="24.75" hidden="1">
      <c r="A33" s="356" t="s">
        <v>688</v>
      </c>
      <c r="B33" s="430" t="str">
        <f>VLOOKUP(A33,Catálogo!$B$3:$C$288,2,0)</f>
        <v xml:space="preserve">Contribución Patronal al Instituto Mixto de Ayuda Social </v>
      </c>
      <c r="C33" s="370">
        <f>SUM(D33:G33)</f>
        <v>0</v>
      </c>
      <c r="D33" s="370">
        <f>[1]GASTOS!F34</f>
        <v>0</v>
      </c>
      <c r="E33" s="370">
        <f>[1]GASTOS!T34</f>
        <v>0</v>
      </c>
      <c r="F33" s="370">
        <f>[1]GASTOS!BD34</f>
        <v>0</v>
      </c>
      <c r="G33" s="370">
        <f>[1]GASTOS!CF34</f>
        <v>0</v>
      </c>
      <c r="L33" s="1333"/>
      <c r="M33" s="1333"/>
      <c r="N33" s="1333">
        <f t="shared" si="0"/>
        <v>0</v>
      </c>
      <c r="O33" s="1333">
        <f t="shared" si="1"/>
        <v>0</v>
      </c>
      <c r="P33" s="1333">
        <f t="shared" si="2"/>
        <v>0</v>
      </c>
      <c r="Q33" s="1333">
        <f t="shared" si="3"/>
        <v>0</v>
      </c>
    </row>
    <row r="34" spans="1:17" s="6" customFormat="1" ht="24.75" hidden="1">
      <c r="A34" s="356" t="s">
        <v>690</v>
      </c>
      <c r="B34" s="430" t="str">
        <f>VLOOKUP(A34,Catálogo!$B$3:$C$288,2,0)</f>
        <v xml:space="preserve">Contribución Patronal al Instituto Nacional de Aprendizaje  </v>
      </c>
      <c r="C34" s="370">
        <f>SUM(D34:G34)</f>
        <v>0</v>
      </c>
      <c r="D34" s="370">
        <f>[1]GASTOS!F35</f>
        <v>0</v>
      </c>
      <c r="E34" s="370">
        <f>[1]GASTOS!T35</f>
        <v>0</v>
      </c>
      <c r="F34" s="370">
        <f>[1]GASTOS!BD35</f>
        <v>0</v>
      </c>
      <c r="G34" s="370">
        <f>[1]GASTOS!CF35</f>
        <v>0</v>
      </c>
      <c r="L34" s="1333"/>
      <c r="M34" s="1333"/>
      <c r="N34" s="1333">
        <f t="shared" si="0"/>
        <v>0</v>
      </c>
      <c r="O34" s="1333">
        <f t="shared" si="1"/>
        <v>0</v>
      </c>
      <c r="P34" s="1333">
        <f t="shared" si="2"/>
        <v>0</v>
      </c>
      <c r="Q34" s="1333">
        <f t="shared" si="3"/>
        <v>0</v>
      </c>
    </row>
    <row r="35" spans="1:17" s="6" customFormat="1" ht="24.75" hidden="1">
      <c r="A35" s="356" t="s">
        <v>692</v>
      </c>
      <c r="B35" s="430" t="str">
        <f>VLOOKUP(A35,Catálogo!$B$3:$C$288,2,0)</f>
        <v>Contribución Patronal al Fondo de Desarrollo Social  y Asignaciones Familiares</v>
      </c>
      <c r="C35" s="370">
        <f>SUM(D35:G35)</f>
        <v>0</v>
      </c>
      <c r="D35" s="370">
        <f>[1]GASTOS!F36</f>
        <v>0</v>
      </c>
      <c r="E35" s="370">
        <f>[1]GASTOS!T36</f>
        <v>0</v>
      </c>
      <c r="F35" s="370">
        <f>[1]GASTOS!BD36</f>
        <v>0</v>
      </c>
      <c r="G35" s="370">
        <f>[1]GASTOS!CF36</f>
        <v>0</v>
      </c>
      <c r="L35" s="1333"/>
      <c r="M35" s="1333"/>
      <c r="N35" s="1333">
        <f t="shared" si="0"/>
        <v>0</v>
      </c>
      <c r="O35" s="1333">
        <f t="shared" si="1"/>
        <v>0</v>
      </c>
      <c r="P35" s="1333">
        <f t="shared" si="2"/>
        <v>0</v>
      </c>
      <c r="Q35" s="1333">
        <f t="shared" si="3"/>
        <v>0</v>
      </c>
    </row>
    <row r="36" spans="1:17" s="6" customFormat="1" ht="24.75">
      <c r="A36" s="356" t="s">
        <v>348</v>
      </c>
      <c r="B36" s="430" t="str">
        <f>VLOOKUP(A36,Catálogo!$B$3:$C$288,2,0)</f>
        <v>Contribución Patronal al Banco Popular y de Desarrollo  Comunal</v>
      </c>
      <c r="C36" s="370">
        <f>SUM(D36:G36)</f>
        <v>9130394</v>
      </c>
      <c r="D36" s="370">
        <f>[1]GASTOS!F37</f>
        <v>4553949</v>
      </c>
      <c r="E36" s="370">
        <f>[1]GASTOS!T37</f>
        <v>2732247</v>
      </c>
      <c r="F36" s="370">
        <f>[1]GASTOS!BD37</f>
        <v>1844198</v>
      </c>
      <c r="G36" s="370">
        <f>[1]GASTOS!CF37</f>
        <v>0</v>
      </c>
      <c r="L36" s="1333"/>
      <c r="M36" s="1333"/>
      <c r="N36" s="1333">
        <f t="shared" si="0"/>
        <v>0</v>
      </c>
      <c r="O36" s="1333">
        <f t="shared" si="1"/>
        <v>9586913.6999999993</v>
      </c>
      <c r="P36" s="1333">
        <f t="shared" si="2"/>
        <v>10066259.385</v>
      </c>
      <c r="Q36" s="1333">
        <f t="shared" si="3"/>
        <v>10569572.354249999</v>
      </c>
    </row>
    <row r="37" spans="1:17" s="6" customFormat="1">
      <c r="A37" s="356"/>
      <c r="B37" s="394"/>
      <c r="C37" s="370"/>
      <c r="D37" s="370"/>
      <c r="E37" s="370"/>
      <c r="F37" s="370"/>
      <c r="G37" s="370"/>
      <c r="L37" s="1333"/>
      <c r="M37" s="1333"/>
      <c r="N37" s="1333">
        <f t="shared" si="0"/>
        <v>0</v>
      </c>
      <c r="O37" s="1333"/>
      <c r="P37" s="1333"/>
      <c r="Q37" s="1333"/>
    </row>
    <row r="38" spans="1:17" s="6" customFormat="1" ht="45" customHeight="1">
      <c r="A38" s="357" t="s">
        <v>349</v>
      </c>
      <c r="B38" s="396" t="str">
        <f>VLOOKUP(A38,Catálogo!$B$3:$C$288,2,0)</f>
        <v xml:space="preserve">CONTRIBUCIONES PATRONALES A FONDOS DE PENSIONES Y OTROS FONDOS DE CAPITALIZACIÓN </v>
      </c>
      <c r="C38" s="371">
        <f>SUM(C39:C43)</f>
        <v>264360792</v>
      </c>
      <c r="D38" s="371">
        <f>SUM(D39:D43)</f>
        <v>130822555</v>
      </c>
      <c r="E38" s="371">
        <f>SUM(E39:E43)</f>
        <v>80485358</v>
      </c>
      <c r="F38" s="371">
        <f>SUM(F39:F43)</f>
        <v>53052879</v>
      </c>
      <c r="G38" s="371">
        <f>SUM(G39:G43)</f>
        <v>0</v>
      </c>
      <c r="L38" s="1333"/>
      <c r="M38" s="1333"/>
      <c r="N38" s="1333">
        <f t="shared" si="0"/>
        <v>0</v>
      </c>
      <c r="O38" s="1333"/>
      <c r="P38" s="1333"/>
      <c r="Q38" s="1333"/>
    </row>
    <row r="39" spans="1:17" s="6" customFormat="1" ht="24.75">
      <c r="A39" s="404" t="s">
        <v>350</v>
      </c>
      <c r="B39" s="430" t="str">
        <f>VLOOKUP(A39,Catálogo!$B$3:$C$288,2,0)</f>
        <v xml:space="preserve">Contribución Patronal al Seguro de Pensiones de la Caja Costarricense de Seguro Social  </v>
      </c>
      <c r="C39" s="370">
        <f>SUM(D39:G39)</f>
        <v>89842913</v>
      </c>
      <c r="D39" s="370">
        <f>[1]GASTOS!F40</f>
        <v>44810820</v>
      </c>
      <c r="E39" s="370">
        <f>[1]GASTOS!T40</f>
        <v>26885205</v>
      </c>
      <c r="F39" s="370">
        <f>[1]GASTOS!BD40</f>
        <v>18146888</v>
      </c>
      <c r="G39" s="370">
        <f>[1]GASTOS!CF40</f>
        <v>0</v>
      </c>
      <c r="L39" s="1333"/>
      <c r="M39" s="1333"/>
      <c r="N39" s="1333">
        <f t="shared" si="0"/>
        <v>0</v>
      </c>
      <c r="O39" s="1333">
        <f t="shared" si="1"/>
        <v>94335058.650000006</v>
      </c>
      <c r="P39" s="1333">
        <f t="shared" si="2"/>
        <v>99051811.582500011</v>
      </c>
      <c r="Q39" s="1333">
        <f t="shared" si="3"/>
        <v>104004402.16162501</v>
      </c>
    </row>
    <row r="40" spans="1:17" s="6" customFormat="1" ht="24.75">
      <c r="A40" s="404" t="s">
        <v>351</v>
      </c>
      <c r="B40" s="430" t="str">
        <f>VLOOKUP(A40,Catálogo!$B$3:$C$288,2,0)</f>
        <v xml:space="preserve">Aporte Patronal al Régimen Obligatorio de Pensiones  Complementarias </v>
      </c>
      <c r="C40" s="370">
        <f>SUM(D40:G40)</f>
        <v>27391143</v>
      </c>
      <c r="D40" s="370">
        <f>[1]GASTOS!F41</f>
        <v>13661839</v>
      </c>
      <c r="E40" s="370">
        <f>[1]GASTOS!T41</f>
        <v>8196715</v>
      </c>
      <c r="F40" s="370">
        <f>[1]GASTOS!BD41</f>
        <v>5532589</v>
      </c>
      <c r="G40" s="370">
        <f>[1]GASTOS!CF41</f>
        <v>0</v>
      </c>
      <c r="L40" s="1333"/>
      <c r="M40" s="1333"/>
      <c r="N40" s="1333">
        <f t="shared" si="0"/>
        <v>0</v>
      </c>
      <c r="O40" s="1333">
        <f t="shared" si="1"/>
        <v>28760700.149999999</v>
      </c>
      <c r="P40" s="1333">
        <f t="shared" si="2"/>
        <v>30198735.157499999</v>
      </c>
      <c r="Q40" s="1333">
        <f t="shared" si="3"/>
        <v>31708671.915374998</v>
      </c>
    </row>
    <row r="41" spans="1:17" s="6" customFormat="1">
      <c r="A41" s="404" t="s">
        <v>352</v>
      </c>
      <c r="B41" s="430" t="str">
        <f>VLOOKUP(A41,Catálogo!$B$3:$C$288,2,0)</f>
        <v xml:space="preserve">Aporte Patronal al Fondo de Capitalización Laboral </v>
      </c>
      <c r="C41" s="370">
        <f>SUM(D41:G41)</f>
        <v>54782271</v>
      </c>
      <c r="D41" s="370">
        <f>[1]GASTOS!F42</f>
        <v>27323673</v>
      </c>
      <c r="E41" s="370">
        <f>[1]GASTOS!T42</f>
        <v>16393422</v>
      </c>
      <c r="F41" s="370">
        <f>[1]GASTOS!BD42</f>
        <v>11065176</v>
      </c>
      <c r="G41" s="370">
        <f>[1]GASTOS!CF42</f>
        <v>0</v>
      </c>
      <c r="L41" s="1333"/>
      <c r="M41" s="1333"/>
      <c r="N41" s="1333">
        <f t="shared" si="0"/>
        <v>0</v>
      </c>
      <c r="O41" s="1333">
        <f t="shared" si="1"/>
        <v>57521384.549999997</v>
      </c>
      <c r="P41" s="1333">
        <f t="shared" si="2"/>
        <v>60397453.777499996</v>
      </c>
      <c r="Q41" s="1333">
        <f t="shared" si="3"/>
        <v>63417326.466374993</v>
      </c>
    </row>
    <row r="42" spans="1:17" s="6" customFormat="1" ht="24.75" hidden="1">
      <c r="A42" s="404" t="s">
        <v>699</v>
      </c>
      <c r="B42" s="430" t="str">
        <f>VLOOKUP(A42,Catálogo!$B$3:$C$288,2,0)</f>
        <v>Contribución Patronal a otros fondos administrados por entes públicos</v>
      </c>
      <c r="C42" s="370">
        <f>SUM(D42:G42)</f>
        <v>0</v>
      </c>
      <c r="D42" s="370">
        <f>[1]GASTOS!F43</f>
        <v>0</v>
      </c>
      <c r="E42" s="370">
        <f>[1]GASTOS!T43</f>
        <v>0</v>
      </c>
      <c r="F42" s="370">
        <f>[1]GASTOS!BD43</f>
        <v>0</v>
      </c>
      <c r="G42" s="370">
        <f>[1]GASTOS!CF43</f>
        <v>0</v>
      </c>
      <c r="L42" s="1333"/>
      <c r="M42" s="1333"/>
      <c r="N42" s="1333">
        <f t="shared" si="0"/>
        <v>0</v>
      </c>
      <c r="O42" s="1333">
        <f t="shared" si="1"/>
        <v>0</v>
      </c>
      <c r="P42" s="1333">
        <f t="shared" si="2"/>
        <v>0</v>
      </c>
      <c r="Q42" s="1333">
        <f t="shared" si="3"/>
        <v>0</v>
      </c>
    </row>
    <row r="43" spans="1:17" s="6" customFormat="1" ht="24.75">
      <c r="A43" s="404" t="s">
        <v>353</v>
      </c>
      <c r="B43" s="430" t="str">
        <f>VLOOKUP(A43,Catálogo!$B$3:$C$288,2,0)</f>
        <v>Contribución Patronal a otros fondos administrados por entes privados</v>
      </c>
      <c r="C43" s="370">
        <f>SUM(D43:G43)</f>
        <v>92344465</v>
      </c>
      <c r="D43" s="370">
        <f>[1]GASTOS!F44</f>
        <v>45026223</v>
      </c>
      <c r="E43" s="370">
        <f>[1]GASTOS!T44</f>
        <v>29010016</v>
      </c>
      <c r="F43" s="370">
        <f>[1]GASTOS!BD44</f>
        <v>18308226</v>
      </c>
      <c r="G43" s="370">
        <f>[1]GASTOS!CF44</f>
        <v>0</v>
      </c>
      <c r="L43" s="1333"/>
      <c r="M43" s="1333"/>
      <c r="N43" s="1333">
        <f t="shared" si="0"/>
        <v>0</v>
      </c>
      <c r="O43" s="1333">
        <f t="shared" si="1"/>
        <v>96961688.25</v>
      </c>
      <c r="P43" s="1333">
        <f t="shared" si="2"/>
        <v>101809772.66249999</v>
      </c>
      <c r="Q43" s="1333">
        <f t="shared" si="3"/>
        <v>106900261.295625</v>
      </c>
    </row>
    <row r="44" spans="1:17" s="6" customFormat="1" hidden="1">
      <c r="A44" s="185"/>
      <c r="B44" s="397"/>
      <c r="C44" s="370"/>
      <c r="D44" s="370"/>
      <c r="E44" s="370"/>
      <c r="F44" s="370"/>
      <c r="G44" s="370"/>
      <c r="L44" s="1333"/>
      <c r="M44" s="1333"/>
      <c r="N44" s="1333">
        <f t="shared" si="0"/>
        <v>0</v>
      </c>
      <c r="O44" s="1333">
        <f t="shared" si="1"/>
        <v>0</v>
      </c>
      <c r="P44" s="1333">
        <f t="shared" si="2"/>
        <v>0</v>
      </c>
      <c r="Q44" s="1333">
        <f t="shared" si="3"/>
        <v>0</v>
      </c>
    </row>
    <row r="45" spans="1:17" s="6" customFormat="1" hidden="1">
      <c r="A45" s="357" t="s">
        <v>702</v>
      </c>
      <c r="B45" s="396" t="str">
        <f>VLOOKUP(A45,Catálogo!$B$3:$C$288,2,0)</f>
        <v>REMUNERACIONES DIVERSAS</v>
      </c>
      <c r="C45" s="371">
        <f>SUM(C46:C47)</f>
        <v>0</v>
      </c>
      <c r="D45" s="371">
        <f>SUM(D46:D47)</f>
        <v>0</v>
      </c>
      <c r="E45" s="371">
        <f>SUM(E46:E47)</f>
        <v>0</v>
      </c>
      <c r="F45" s="371">
        <f>SUM(F46:F47)</f>
        <v>0</v>
      </c>
      <c r="G45" s="371">
        <f>SUM(G46:G47)</f>
        <v>0</v>
      </c>
      <c r="L45" s="1333"/>
      <c r="M45" s="1333"/>
      <c r="N45" s="1333">
        <f t="shared" si="0"/>
        <v>0</v>
      </c>
      <c r="O45" s="1333">
        <f t="shared" si="1"/>
        <v>0</v>
      </c>
      <c r="P45" s="1333">
        <f t="shared" si="2"/>
        <v>0</v>
      </c>
      <c r="Q45" s="1333">
        <f t="shared" si="3"/>
        <v>0</v>
      </c>
    </row>
    <row r="46" spans="1:17" s="6" customFormat="1" hidden="1">
      <c r="A46" s="404" t="s">
        <v>704</v>
      </c>
      <c r="B46" s="430" t="str">
        <f>VLOOKUP(A46,Catálogo!$B$3:$C$288,2,0)</f>
        <v>Gastos de representación personal</v>
      </c>
      <c r="C46" s="370">
        <f>SUM(D46:G46)</f>
        <v>0</v>
      </c>
      <c r="D46" s="370">
        <f>[1]GASTOS!F47</f>
        <v>0</v>
      </c>
      <c r="E46" s="370">
        <f>[1]GASTOS!T47</f>
        <v>0</v>
      </c>
      <c r="F46" s="370">
        <f>[1]GASTOS!BD47</f>
        <v>0</v>
      </c>
      <c r="G46" s="370">
        <f>[1]GASTOS!CF47</f>
        <v>0</v>
      </c>
      <c r="L46" s="1333"/>
      <c r="M46" s="1333"/>
      <c r="N46" s="1333">
        <f t="shared" si="0"/>
        <v>0</v>
      </c>
      <c r="O46" s="1333">
        <f t="shared" si="1"/>
        <v>0</v>
      </c>
      <c r="P46" s="1333">
        <f t="shared" si="2"/>
        <v>0</v>
      </c>
      <c r="Q46" s="1333">
        <f t="shared" si="3"/>
        <v>0</v>
      </c>
    </row>
    <row r="47" spans="1:17" s="6" customFormat="1" hidden="1">
      <c r="A47" s="404" t="s">
        <v>706</v>
      </c>
      <c r="B47" s="430" t="str">
        <f>VLOOKUP(A47,Catálogo!$B$3:$C$288,2,0)</f>
        <v>Otras remuneraciones</v>
      </c>
      <c r="C47" s="370">
        <f>SUM(D47:G47)</f>
        <v>0</v>
      </c>
      <c r="D47" s="370">
        <f>[1]GASTOS!F48</f>
        <v>0</v>
      </c>
      <c r="E47" s="370">
        <f>[1]GASTOS!T48</f>
        <v>0</v>
      </c>
      <c r="F47" s="370">
        <f>[1]GASTOS!BD48</f>
        <v>0</v>
      </c>
      <c r="G47" s="370">
        <f>[1]GASTOS!CF48</f>
        <v>0</v>
      </c>
      <c r="L47" s="1333"/>
      <c r="M47" s="1333"/>
      <c r="N47" s="1333">
        <f t="shared" si="0"/>
        <v>0</v>
      </c>
      <c r="O47" s="1333">
        <f t="shared" si="1"/>
        <v>0</v>
      </c>
      <c r="P47" s="1333">
        <f t="shared" si="2"/>
        <v>0</v>
      </c>
      <c r="Q47" s="1333">
        <f t="shared" si="3"/>
        <v>0</v>
      </c>
    </row>
    <row r="48" spans="1:17" s="6" customFormat="1">
      <c r="A48" s="185"/>
      <c r="B48" s="397"/>
      <c r="C48" s="370"/>
      <c r="D48" s="370"/>
      <c r="E48" s="370"/>
      <c r="F48" s="370"/>
      <c r="G48" s="370"/>
      <c r="L48" s="1333"/>
      <c r="M48" s="1333"/>
      <c r="N48" s="1333">
        <f t="shared" si="0"/>
        <v>0</v>
      </c>
      <c r="O48" s="1333"/>
      <c r="P48" s="1333"/>
      <c r="Q48" s="1333"/>
    </row>
    <row r="49" spans="1:17" s="6" customFormat="1">
      <c r="A49" s="185"/>
      <c r="B49" s="397"/>
      <c r="C49" s="370"/>
      <c r="D49" s="370"/>
      <c r="E49" s="370"/>
      <c r="F49" s="370"/>
      <c r="G49" s="370"/>
      <c r="L49" s="1333"/>
      <c r="M49" s="1333"/>
      <c r="N49" s="1333">
        <f t="shared" si="0"/>
        <v>0</v>
      </c>
      <c r="O49" s="1333"/>
      <c r="P49" s="1333"/>
      <c r="Q49" s="1333"/>
    </row>
    <row r="50" spans="1:17" s="13" customFormat="1" ht="18.75">
      <c r="A50" s="353">
        <v>1</v>
      </c>
      <c r="B50" s="687" t="s">
        <v>281</v>
      </c>
      <c r="C50" s="696">
        <f>C52+C59+C66+C75+C84+C90+C95+C100+C112+C118</f>
        <v>757345863</v>
      </c>
      <c r="D50" s="696">
        <f>D52+D59+D66+D75+D84+D90+D95+D100+D112+D118</f>
        <v>166862783</v>
      </c>
      <c r="E50" s="696">
        <f>E52+E59+E66+E75+E84+E90+E95+E100+E112+E118</f>
        <v>319625381</v>
      </c>
      <c r="F50" s="696">
        <f>F52+F59+F66+F75+F84+F90+F95+F100+F112+F118</f>
        <v>270857699</v>
      </c>
      <c r="G50" s="369">
        <f>G52+G59+G66+G75+G84+G90+G95+G100+G112+G118</f>
        <v>0</v>
      </c>
      <c r="H50" s="784">
        <f>[1]GASTOS!$D$51</f>
        <v>757345863</v>
      </c>
      <c r="I50" s="784">
        <f>H50-C50</f>
        <v>0</v>
      </c>
      <c r="L50" s="1333"/>
      <c r="M50" s="1333"/>
      <c r="N50" s="1333">
        <f t="shared" si="0"/>
        <v>0</v>
      </c>
      <c r="O50" s="1333"/>
      <c r="P50" s="1333"/>
      <c r="Q50" s="1333"/>
    </row>
    <row r="51" spans="1:17" s="6" customFormat="1">
      <c r="A51" s="356"/>
      <c r="B51" s="394"/>
      <c r="C51" s="370"/>
      <c r="D51" s="370"/>
      <c r="E51" s="370"/>
      <c r="F51" s="370"/>
      <c r="G51" s="370"/>
      <c r="L51" s="1333"/>
      <c r="M51" s="1333"/>
      <c r="N51" s="1333">
        <f t="shared" si="0"/>
        <v>0</v>
      </c>
      <c r="O51" s="1333"/>
      <c r="P51" s="1333"/>
      <c r="Q51" s="1333"/>
    </row>
    <row r="52" spans="1:17" s="6" customFormat="1">
      <c r="A52" s="355" t="s">
        <v>354</v>
      </c>
      <c r="B52" s="396" t="str">
        <f>VLOOKUP(A52,Catálogo!$B$3:$C$288,2,0)</f>
        <v xml:space="preserve">ALQUILERES </v>
      </c>
      <c r="C52" s="371">
        <f>SUM(C53:C57)</f>
        <v>81117061</v>
      </c>
      <c r="D52" s="371">
        <f>SUM(D53:D57)</f>
        <v>596000</v>
      </c>
      <c r="E52" s="371">
        <f>SUM(E53:E57)</f>
        <v>26521061</v>
      </c>
      <c r="F52" s="371">
        <f>SUM(F53:F57)</f>
        <v>54000000</v>
      </c>
      <c r="G52" s="371">
        <f>SUM(G53:G57)</f>
        <v>0</v>
      </c>
      <c r="L52" s="1333"/>
      <c r="M52" s="1333"/>
      <c r="N52" s="1333">
        <f t="shared" si="0"/>
        <v>0</v>
      </c>
      <c r="O52" s="1333"/>
      <c r="P52" s="1333"/>
      <c r="Q52" s="1333"/>
    </row>
    <row r="53" spans="1:17" s="6" customFormat="1">
      <c r="A53" s="356" t="s">
        <v>356</v>
      </c>
      <c r="B53" s="430" t="str">
        <f>VLOOKUP(A53,Catálogo!$B$3:$C$288,2,0)</f>
        <v>Alquiler de edificios, locales y terrenos</v>
      </c>
      <c r="C53" s="370">
        <f>SUM(D53:G53)</f>
        <v>10544000</v>
      </c>
      <c r="D53" s="370">
        <f>[1]GASTOS!F54</f>
        <v>456000</v>
      </c>
      <c r="E53" s="370">
        <f>[1]GASTOS!T54</f>
        <v>10088000</v>
      </c>
      <c r="F53" s="370">
        <f>[1]GASTOS!BD54</f>
        <v>0</v>
      </c>
      <c r="G53" s="370">
        <f>[1]GASTOS!CF54</f>
        <v>0</v>
      </c>
      <c r="L53" s="1333"/>
      <c r="M53" s="1333"/>
      <c r="N53" s="1333">
        <f t="shared" si="0"/>
        <v>0</v>
      </c>
      <c r="O53" s="1333">
        <f t="shared" si="1"/>
        <v>11071200</v>
      </c>
      <c r="P53" s="1333">
        <f t="shared" si="2"/>
        <v>11624760</v>
      </c>
      <c r="Q53" s="1333">
        <f t="shared" si="3"/>
        <v>12205998</v>
      </c>
    </row>
    <row r="54" spans="1:17" s="6" customFormat="1">
      <c r="A54" s="356" t="s">
        <v>358</v>
      </c>
      <c r="B54" s="430" t="str">
        <f>VLOOKUP(A54,Catálogo!$B$3:$C$288,2,0)</f>
        <v>Alquiler de maquinaria, equipo y mobiliario</v>
      </c>
      <c r="C54" s="370">
        <f>SUM(D54:G54)</f>
        <v>70503061</v>
      </c>
      <c r="D54" s="370">
        <f>[1]GASTOS!F55</f>
        <v>70000</v>
      </c>
      <c r="E54" s="370">
        <f>[1]GASTOS!T55</f>
        <v>16433061</v>
      </c>
      <c r="F54" s="370">
        <f>[1]GASTOS!BD55</f>
        <v>54000000</v>
      </c>
      <c r="G54" s="370">
        <f>[1]GASTOS!CF55</f>
        <v>0</v>
      </c>
      <c r="L54" s="1333"/>
      <c r="M54" s="1333"/>
      <c r="N54" s="1333">
        <f t="shared" si="0"/>
        <v>0</v>
      </c>
      <c r="O54" s="1333">
        <f t="shared" si="1"/>
        <v>74028214.049999997</v>
      </c>
      <c r="P54" s="1333">
        <f t="shared" si="2"/>
        <v>77729624.752499998</v>
      </c>
      <c r="Q54" s="1333">
        <f t="shared" si="3"/>
        <v>81616105.990125</v>
      </c>
    </row>
    <row r="55" spans="1:17" s="6" customFormat="1" hidden="1">
      <c r="A55" s="356" t="s">
        <v>708</v>
      </c>
      <c r="B55" s="430" t="str">
        <f>VLOOKUP(A55,Catálogo!$B$3:$C$288,2,0)</f>
        <v>Alquiler de equipo de cómputo</v>
      </c>
      <c r="C55" s="370">
        <f>SUM(D55:G55)</f>
        <v>0</v>
      </c>
      <c r="D55" s="370">
        <f>[1]GASTOS!F56</f>
        <v>0</v>
      </c>
      <c r="E55" s="370">
        <f>[1]GASTOS!T56</f>
        <v>0</v>
      </c>
      <c r="F55" s="370">
        <f>[1]GASTOS!BD56</f>
        <v>0</v>
      </c>
      <c r="G55" s="370">
        <f>[1]GASTOS!CF56</f>
        <v>0</v>
      </c>
      <c r="L55" s="1333"/>
      <c r="M55" s="1333"/>
      <c r="N55" s="1333">
        <f t="shared" si="0"/>
        <v>0</v>
      </c>
      <c r="O55" s="1333">
        <f t="shared" si="1"/>
        <v>0</v>
      </c>
      <c r="P55" s="1333">
        <f t="shared" si="2"/>
        <v>0</v>
      </c>
      <c r="Q55" s="1333">
        <f t="shared" si="3"/>
        <v>0</v>
      </c>
    </row>
    <row r="56" spans="1:17" s="6" customFormat="1" hidden="1">
      <c r="A56" s="356" t="s">
        <v>710</v>
      </c>
      <c r="B56" s="430" t="str">
        <f>VLOOKUP(A56,Catálogo!$B$3:$C$288,2,0)</f>
        <v>Alquileres y derechos para telecomunicaciones</v>
      </c>
      <c r="C56" s="370">
        <f>SUM(D56:G56)</f>
        <v>0</v>
      </c>
      <c r="D56" s="370">
        <f>[1]GASTOS!F57</f>
        <v>0</v>
      </c>
      <c r="E56" s="370">
        <f>[1]GASTOS!T57</f>
        <v>0</v>
      </c>
      <c r="F56" s="370">
        <f>[1]GASTOS!BD57</f>
        <v>0</v>
      </c>
      <c r="G56" s="370">
        <f>[1]GASTOS!CF57</f>
        <v>0</v>
      </c>
      <c r="L56" s="1333"/>
      <c r="M56" s="1333"/>
      <c r="N56" s="1333">
        <f t="shared" si="0"/>
        <v>0</v>
      </c>
      <c r="O56" s="1333">
        <f t="shared" si="1"/>
        <v>0</v>
      </c>
      <c r="P56" s="1333">
        <f t="shared" si="2"/>
        <v>0</v>
      </c>
      <c r="Q56" s="1333">
        <f t="shared" si="3"/>
        <v>0</v>
      </c>
    </row>
    <row r="57" spans="1:17" s="6" customFormat="1">
      <c r="A57" s="356" t="s">
        <v>360</v>
      </c>
      <c r="B57" s="430" t="str">
        <f>VLOOKUP(A57,Catálogo!$B$3:$C$288,2,0)</f>
        <v>Otros alquileres</v>
      </c>
      <c r="C57" s="370">
        <f>SUM(D57:G57)</f>
        <v>70000</v>
      </c>
      <c r="D57" s="370">
        <f>[1]GASTOS!F58</f>
        <v>70000</v>
      </c>
      <c r="E57" s="370">
        <f>[1]GASTOS!T58</f>
        <v>0</v>
      </c>
      <c r="F57" s="370">
        <f>[1]GASTOS!BD58</f>
        <v>0</v>
      </c>
      <c r="G57" s="370">
        <f>[1]GASTOS!CF58</f>
        <v>0</v>
      </c>
      <c r="L57" s="1333"/>
      <c r="M57" s="1333"/>
      <c r="N57" s="1333">
        <f t="shared" si="0"/>
        <v>0</v>
      </c>
      <c r="O57" s="1333">
        <f t="shared" si="1"/>
        <v>73500</v>
      </c>
      <c r="P57" s="1333">
        <f t="shared" si="2"/>
        <v>77175</v>
      </c>
      <c r="Q57" s="1333">
        <f t="shared" si="3"/>
        <v>81033.75</v>
      </c>
    </row>
    <row r="58" spans="1:17" s="6" customFormat="1">
      <c r="A58" s="356"/>
      <c r="B58" s="394"/>
      <c r="C58" s="370"/>
      <c r="D58" s="370"/>
      <c r="E58" s="370"/>
      <c r="F58" s="370"/>
      <c r="G58" s="370"/>
      <c r="L58" s="1333"/>
      <c r="M58" s="1333"/>
      <c r="N58" s="1333">
        <f t="shared" si="0"/>
        <v>0</v>
      </c>
      <c r="O58" s="1333"/>
      <c r="P58" s="1333"/>
      <c r="Q58" s="1333"/>
    </row>
    <row r="59" spans="1:17" s="6" customFormat="1">
      <c r="A59" s="355" t="s">
        <v>362</v>
      </c>
      <c r="B59" s="396" t="str">
        <f>VLOOKUP(A59,Catálogo!$B$3:$C$288,2,0)</f>
        <v>SERVICIOS BÁSICOS</v>
      </c>
      <c r="C59" s="371">
        <f>SUM(C60:C64)</f>
        <v>54990000</v>
      </c>
      <c r="D59" s="371">
        <f>SUM(D60:D64)</f>
        <v>33825000</v>
      </c>
      <c r="E59" s="371">
        <f>SUM(E60:E64)</f>
        <v>20820000</v>
      </c>
      <c r="F59" s="371">
        <f>SUM(F60:F64)</f>
        <v>345000</v>
      </c>
      <c r="G59" s="371">
        <f>SUM(G60:G64)</f>
        <v>0</v>
      </c>
      <c r="L59" s="1333"/>
      <c r="M59" s="1333"/>
      <c r="N59" s="1333">
        <f t="shared" si="0"/>
        <v>0</v>
      </c>
      <c r="O59" s="1333"/>
      <c r="P59" s="1333"/>
      <c r="Q59" s="1333"/>
    </row>
    <row r="60" spans="1:17" s="6" customFormat="1">
      <c r="A60" s="356" t="s">
        <v>364</v>
      </c>
      <c r="B60" s="430" t="str">
        <f>VLOOKUP(A60,Catálogo!$B$3:$C$288,2,0)</f>
        <v xml:space="preserve">Servicio de agua y alcantarillado </v>
      </c>
      <c r="C60" s="370">
        <f>SUM(D60:G60)</f>
        <v>10810000</v>
      </c>
      <c r="D60" s="370">
        <f>[1]GASTOS!F61</f>
        <v>3600000</v>
      </c>
      <c r="E60" s="370">
        <f>[1]GASTOS!T61</f>
        <v>7210000</v>
      </c>
      <c r="F60" s="370">
        <f>[1]GASTOS!BD61</f>
        <v>0</v>
      </c>
      <c r="G60" s="370">
        <f>[1]GASTOS!CF61</f>
        <v>0</v>
      </c>
      <c r="L60" s="1333"/>
      <c r="M60" s="1333"/>
      <c r="N60" s="1333">
        <f t="shared" si="0"/>
        <v>0</v>
      </c>
      <c r="O60" s="1333">
        <f t="shared" si="1"/>
        <v>11350500</v>
      </c>
      <c r="P60" s="1333">
        <f t="shared" si="2"/>
        <v>11918025</v>
      </c>
      <c r="Q60" s="1333">
        <f t="shared" si="3"/>
        <v>12513926.25</v>
      </c>
    </row>
    <row r="61" spans="1:17" s="6" customFormat="1">
      <c r="A61" s="356" t="s">
        <v>366</v>
      </c>
      <c r="B61" s="430" t="str">
        <f>VLOOKUP(A61,Catálogo!$B$3:$C$288,2,0)</f>
        <v>Servicio de energía eléctrica</v>
      </c>
      <c r="C61" s="370">
        <f>SUM(D61:G61)</f>
        <v>35040000</v>
      </c>
      <c r="D61" s="370">
        <f>[1]GASTOS!F62</f>
        <v>23900000</v>
      </c>
      <c r="E61" s="370">
        <f>[1]GASTOS!T62</f>
        <v>11140000</v>
      </c>
      <c r="F61" s="370">
        <f>[1]GASTOS!BD62</f>
        <v>0</v>
      </c>
      <c r="G61" s="370">
        <f>[1]GASTOS!CF62</f>
        <v>0</v>
      </c>
      <c r="L61" s="1333"/>
      <c r="M61" s="1333"/>
      <c r="N61" s="1333">
        <f t="shared" si="0"/>
        <v>0</v>
      </c>
      <c r="O61" s="1333">
        <f t="shared" si="1"/>
        <v>36792000</v>
      </c>
      <c r="P61" s="1333">
        <f t="shared" si="2"/>
        <v>38631600</v>
      </c>
      <c r="Q61" s="1333">
        <f t="shared" si="3"/>
        <v>40563180</v>
      </c>
    </row>
    <row r="62" spans="1:17" s="6" customFormat="1">
      <c r="A62" s="356" t="s">
        <v>368</v>
      </c>
      <c r="B62" s="430" t="str">
        <f>VLOOKUP(A62,Catálogo!$B$3:$C$288,2,0)</f>
        <v>Servicio de correo</v>
      </c>
      <c r="C62" s="370">
        <f>SUM(D62:G62)</f>
        <v>125000</v>
      </c>
      <c r="D62" s="370">
        <f>[1]GASTOS!F63</f>
        <v>125000</v>
      </c>
      <c r="E62" s="370">
        <f>[1]GASTOS!T63</f>
        <v>0</v>
      </c>
      <c r="F62" s="370">
        <f>[1]GASTOS!BD63</f>
        <v>0</v>
      </c>
      <c r="G62" s="370">
        <f>[1]GASTOS!CF63</f>
        <v>0</v>
      </c>
      <c r="L62" s="1333"/>
      <c r="M62" s="1333"/>
      <c r="N62" s="1333">
        <f t="shared" si="0"/>
        <v>0</v>
      </c>
      <c r="O62" s="1333">
        <f t="shared" si="1"/>
        <v>131250</v>
      </c>
      <c r="P62" s="1333">
        <f t="shared" si="2"/>
        <v>137812.5</v>
      </c>
      <c r="Q62" s="1333">
        <f t="shared" si="3"/>
        <v>144703.125</v>
      </c>
    </row>
    <row r="63" spans="1:17" s="6" customFormat="1">
      <c r="A63" s="356" t="s">
        <v>370</v>
      </c>
      <c r="B63" s="430" t="str">
        <f>VLOOKUP(A63,Catálogo!$B$3:$C$288,2,0)</f>
        <v>Servicio de telecomunicaciones</v>
      </c>
      <c r="C63" s="370">
        <f>SUM(D63:G63)</f>
        <v>9015000</v>
      </c>
      <c r="D63" s="370">
        <f>[1]GASTOS!F64</f>
        <v>6200000</v>
      </c>
      <c r="E63" s="370">
        <f>[1]GASTOS!T64</f>
        <v>2470000</v>
      </c>
      <c r="F63" s="370">
        <f>[1]GASTOS!BD64</f>
        <v>345000</v>
      </c>
      <c r="G63" s="370">
        <f>[1]GASTOS!CF64</f>
        <v>0</v>
      </c>
      <c r="L63" s="1333"/>
      <c r="M63" s="1333"/>
      <c r="N63" s="1333">
        <f t="shared" si="0"/>
        <v>0</v>
      </c>
      <c r="O63" s="1333">
        <f t="shared" si="1"/>
        <v>9465750</v>
      </c>
      <c r="P63" s="1333">
        <f t="shared" si="2"/>
        <v>9939037.5</v>
      </c>
      <c r="Q63" s="1333">
        <f t="shared" si="3"/>
        <v>10435989.375</v>
      </c>
    </row>
    <row r="64" spans="1:17" s="6" customFormat="1" hidden="1">
      <c r="A64" s="356" t="s">
        <v>372</v>
      </c>
      <c r="B64" s="430" t="str">
        <f>VLOOKUP(A64,Catálogo!$B$3:$C$288,2,0)</f>
        <v xml:space="preserve">Otros servicios básicos </v>
      </c>
      <c r="C64" s="370">
        <f>SUM(D64:G64)</f>
        <v>0</v>
      </c>
      <c r="D64" s="370">
        <f>[1]GASTOS!F65</f>
        <v>0</v>
      </c>
      <c r="E64" s="370">
        <f>[1]GASTOS!T65</f>
        <v>0</v>
      </c>
      <c r="F64" s="370">
        <f>[1]GASTOS!BD65</f>
        <v>0</v>
      </c>
      <c r="G64" s="370">
        <f>[1]GASTOS!CF65</f>
        <v>0</v>
      </c>
      <c r="L64" s="1333"/>
      <c r="M64" s="1333"/>
      <c r="N64" s="1333">
        <f t="shared" si="0"/>
        <v>0</v>
      </c>
      <c r="O64" s="1333">
        <f t="shared" si="1"/>
        <v>0</v>
      </c>
      <c r="P64" s="1333">
        <f t="shared" si="2"/>
        <v>0</v>
      </c>
      <c r="Q64" s="1333">
        <f t="shared" si="3"/>
        <v>0</v>
      </c>
    </row>
    <row r="65" spans="1:17" s="6" customFormat="1">
      <c r="A65" s="357"/>
      <c r="B65" s="396"/>
      <c r="C65" s="370"/>
      <c r="D65" s="370"/>
      <c r="E65" s="370"/>
      <c r="F65" s="370"/>
      <c r="G65" s="370"/>
      <c r="L65" s="1333"/>
      <c r="M65" s="1333"/>
      <c r="N65" s="1333">
        <f t="shared" si="0"/>
        <v>0</v>
      </c>
      <c r="O65" s="1333"/>
      <c r="P65" s="1333"/>
      <c r="Q65" s="1333"/>
    </row>
    <row r="66" spans="1:17" s="6" customFormat="1">
      <c r="A66" s="355" t="s">
        <v>374</v>
      </c>
      <c r="B66" s="396" t="str">
        <f>VLOOKUP(A66,Catálogo!$B$3:$C$288,2,0)</f>
        <v>SERVICIOS COMERCIALES Y FINANCIEROS</v>
      </c>
      <c r="C66" s="371">
        <f>SUM(C67:C73)</f>
        <v>39391000</v>
      </c>
      <c r="D66" s="371">
        <f>SUM(D67:D73)</f>
        <v>29051000</v>
      </c>
      <c r="E66" s="371">
        <f>SUM(E67:E73)</f>
        <v>6120000</v>
      </c>
      <c r="F66" s="371">
        <f>SUM(F67:F73)</f>
        <v>4220000</v>
      </c>
      <c r="G66" s="371">
        <f>SUM(G67:G73)</f>
        <v>0</v>
      </c>
      <c r="L66" s="1333"/>
      <c r="M66" s="1333"/>
      <c r="N66" s="1333">
        <f t="shared" si="0"/>
        <v>0</v>
      </c>
      <c r="O66" s="1333"/>
      <c r="P66" s="1333"/>
      <c r="Q66" s="1333"/>
    </row>
    <row r="67" spans="1:17" s="6" customFormat="1">
      <c r="A67" s="356" t="s">
        <v>376</v>
      </c>
      <c r="B67" s="430" t="str">
        <f>VLOOKUP(A67,Catálogo!$B$3:$C$288,2,0)</f>
        <v xml:space="preserve">Información </v>
      </c>
      <c r="C67" s="370">
        <f t="shared" ref="C67:C73" si="4">SUM(D67:G67)</f>
        <v>11525000</v>
      </c>
      <c r="D67" s="370">
        <f>[1]GASTOS!F68</f>
        <v>8455000</v>
      </c>
      <c r="E67" s="370">
        <f>[1]GASTOS!T68</f>
        <v>1070000</v>
      </c>
      <c r="F67" s="370">
        <f>[1]GASTOS!BD68</f>
        <v>2000000</v>
      </c>
      <c r="G67" s="370">
        <f>[1]GASTOS!CF68</f>
        <v>0</v>
      </c>
      <c r="L67" s="1333"/>
      <c r="M67" s="1333"/>
      <c r="N67" s="1333">
        <f t="shared" si="0"/>
        <v>0</v>
      </c>
      <c r="O67" s="1333">
        <f t="shared" si="1"/>
        <v>12101250</v>
      </c>
      <c r="P67" s="1333">
        <f t="shared" si="2"/>
        <v>12706312.5</v>
      </c>
      <c r="Q67" s="1333">
        <f t="shared" si="3"/>
        <v>13341628.125</v>
      </c>
    </row>
    <row r="68" spans="1:17" s="6" customFormat="1">
      <c r="A68" s="356" t="s">
        <v>378</v>
      </c>
      <c r="B68" s="430" t="str">
        <f>VLOOKUP(A68,Catálogo!$B$3:$C$288,2,0)</f>
        <v>Publicidad y propaganda</v>
      </c>
      <c r="C68" s="370">
        <f t="shared" si="4"/>
        <v>1680000</v>
      </c>
      <c r="D68" s="370">
        <f>[1]GASTOS!F69</f>
        <v>660000</v>
      </c>
      <c r="E68" s="370">
        <f>[1]GASTOS!T69</f>
        <v>720000</v>
      </c>
      <c r="F68" s="370">
        <f>[1]GASTOS!BD69</f>
        <v>300000</v>
      </c>
      <c r="G68" s="370">
        <f>[1]GASTOS!CF69</f>
        <v>0</v>
      </c>
      <c r="L68" s="1333"/>
      <c r="M68" s="1333"/>
      <c r="N68" s="1333">
        <f t="shared" si="0"/>
        <v>0</v>
      </c>
      <c r="O68" s="1333">
        <f t="shared" si="1"/>
        <v>1764000</v>
      </c>
      <c r="P68" s="1333">
        <f t="shared" si="2"/>
        <v>1852200</v>
      </c>
      <c r="Q68" s="1333">
        <f t="shared" si="3"/>
        <v>1944810</v>
      </c>
    </row>
    <row r="69" spans="1:17" s="6" customFormat="1">
      <c r="A69" s="356" t="s">
        <v>380</v>
      </c>
      <c r="B69" s="430" t="str">
        <f>VLOOKUP(A69,Catálogo!$B$3:$C$288,2,0)</f>
        <v>Impresión, encuadernación y otros</v>
      </c>
      <c r="C69" s="370">
        <f t="shared" si="4"/>
        <v>7949000</v>
      </c>
      <c r="D69" s="370">
        <f>[1]GASTOS!F70</f>
        <v>3169000</v>
      </c>
      <c r="E69" s="370">
        <f>[1]GASTOS!T70</f>
        <v>4280000</v>
      </c>
      <c r="F69" s="370">
        <f>[1]GASTOS!BD70</f>
        <v>500000</v>
      </c>
      <c r="G69" s="370">
        <f>[1]GASTOS!CF70</f>
        <v>0</v>
      </c>
      <c r="L69" s="1333"/>
      <c r="M69" s="1333"/>
      <c r="N69" s="1333">
        <f t="shared" si="0"/>
        <v>0</v>
      </c>
      <c r="O69" s="1333">
        <f t="shared" si="1"/>
        <v>8346450</v>
      </c>
      <c r="P69" s="1333">
        <f t="shared" si="2"/>
        <v>8763772.5</v>
      </c>
      <c r="Q69" s="1333">
        <f t="shared" si="3"/>
        <v>9201961.125</v>
      </c>
    </row>
    <row r="70" spans="1:17" s="6" customFormat="1">
      <c r="A70" s="356" t="s">
        <v>1076</v>
      </c>
      <c r="B70" s="430" t="str">
        <f>VLOOKUP(A70,Catálogo!$B$3:$C$288,2,0)</f>
        <v>Transporte de bienes</v>
      </c>
      <c r="C70" s="370">
        <f t="shared" si="4"/>
        <v>2320000</v>
      </c>
      <c r="D70" s="370">
        <f>[1]GASTOS!F71</f>
        <v>850000</v>
      </c>
      <c r="E70" s="370">
        <f>[1]GASTOS!T71</f>
        <v>50000</v>
      </c>
      <c r="F70" s="370">
        <f>[1]GASTOS!BD71</f>
        <v>1420000</v>
      </c>
      <c r="G70" s="370">
        <f>[1]GASTOS!CF71</f>
        <v>0</v>
      </c>
      <c r="L70" s="1333"/>
      <c r="M70" s="1333"/>
      <c r="N70" s="1333">
        <f t="shared" si="0"/>
        <v>0</v>
      </c>
      <c r="O70" s="1333">
        <f t="shared" si="1"/>
        <v>2436000</v>
      </c>
      <c r="P70" s="1333">
        <f t="shared" si="2"/>
        <v>2557800</v>
      </c>
      <c r="Q70" s="1333">
        <f t="shared" si="3"/>
        <v>2685690</v>
      </c>
    </row>
    <row r="71" spans="1:17" s="6" customFormat="1" hidden="1">
      <c r="A71" s="356" t="s">
        <v>712</v>
      </c>
      <c r="B71" s="430" t="str">
        <f>VLOOKUP(A71,Catálogo!$B$3:$C$288,2,0)</f>
        <v>Servicios aduaneros</v>
      </c>
      <c r="C71" s="370">
        <f t="shared" si="4"/>
        <v>0</v>
      </c>
      <c r="D71" s="370">
        <f>[1]GASTOS!F72</f>
        <v>0</v>
      </c>
      <c r="E71" s="370">
        <f>[1]GASTOS!T72</f>
        <v>0</v>
      </c>
      <c r="F71" s="370">
        <f>[1]GASTOS!BD72</f>
        <v>0</v>
      </c>
      <c r="G71" s="370">
        <f>[1]GASTOS!CF72</f>
        <v>0</v>
      </c>
      <c r="L71" s="1333"/>
      <c r="M71" s="1333"/>
      <c r="N71" s="1333">
        <f t="shared" si="0"/>
        <v>0</v>
      </c>
      <c r="O71" s="1333">
        <f t="shared" si="1"/>
        <v>0</v>
      </c>
      <c r="P71" s="1333">
        <f t="shared" si="2"/>
        <v>0</v>
      </c>
      <c r="Q71" s="1333">
        <f t="shared" si="3"/>
        <v>0</v>
      </c>
    </row>
    <row r="72" spans="1:17" s="6" customFormat="1" ht="24.75">
      <c r="A72" s="356" t="s">
        <v>676</v>
      </c>
      <c r="B72" s="430" t="str">
        <f>VLOOKUP(A72,Catálogo!$B$3:$C$288,2,0)</f>
        <v>Comisiones y gastos por servicios financieros y comerciales</v>
      </c>
      <c r="C72" s="370">
        <f t="shared" si="4"/>
        <v>15000000</v>
      </c>
      <c r="D72" s="370">
        <f>[1]GASTOS!F73</f>
        <v>15000000</v>
      </c>
      <c r="E72" s="370">
        <f>[1]GASTOS!T73</f>
        <v>0</v>
      </c>
      <c r="F72" s="370">
        <f>[1]GASTOS!BD73</f>
        <v>0</v>
      </c>
      <c r="G72" s="370">
        <f>[1]GASTOS!CF73</f>
        <v>0</v>
      </c>
      <c r="L72" s="1333"/>
      <c r="M72" s="1333"/>
      <c r="N72" s="1333">
        <f t="shared" si="0"/>
        <v>0</v>
      </c>
      <c r="O72" s="1333">
        <f t="shared" si="1"/>
        <v>15750000</v>
      </c>
      <c r="P72" s="1333">
        <f t="shared" si="2"/>
        <v>16537500</v>
      </c>
      <c r="Q72" s="1333">
        <f t="shared" si="3"/>
        <v>17364375</v>
      </c>
    </row>
    <row r="73" spans="1:17" s="6" customFormat="1" ht="24.75">
      <c r="A73" s="356" t="s">
        <v>1078</v>
      </c>
      <c r="B73" s="430" t="str">
        <f>VLOOKUP(A73,Catálogo!$B$3:$C$288,2,0)</f>
        <v>Servicios de transferencia electrónica de información</v>
      </c>
      <c r="C73" s="370">
        <f t="shared" si="4"/>
        <v>917000</v>
      </c>
      <c r="D73" s="370">
        <f>[1]GASTOS!F74</f>
        <v>917000</v>
      </c>
      <c r="E73" s="370">
        <f>[1]GASTOS!T74</f>
        <v>0</v>
      </c>
      <c r="F73" s="370">
        <f>[1]GASTOS!BD74</f>
        <v>0</v>
      </c>
      <c r="G73" s="370">
        <f>[1]GASTOS!CF74</f>
        <v>0</v>
      </c>
      <c r="L73" s="1333"/>
      <c r="M73" s="1333"/>
      <c r="N73" s="1333">
        <f t="shared" si="0"/>
        <v>0</v>
      </c>
      <c r="O73" s="1333">
        <f t="shared" si="1"/>
        <v>962850</v>
      </c>
      <c r="P73" s="1333">
        <f t="shared" si="2"/>
        <v>1010992.5</v>
      </c>
      <c r="Q73" s="1333">
        <f t="shared" si="3"/>
        <v>1061542.125</v>
      </c>
    </row>
    <row r="74" spans="1:17" s="6" customFormat="1">
      <c r="A74" s="356"/>
      <c r="B74" s="394"/>
      <c r="C74" s="370"/>
      <c r="D74" s="370"/>
      <c r="E74" s="370"/>
      <c r="F74" s="370"/>
      <c r="G74" s="370"/>
      <c r="L74" s="1333"/>
      <c r="M74" s="1333"/>
      <c r="N74" s="1333">
        <f t="shared" si="0"/>
        <v>0</v>
      </c>
      <c r="O74" s="1333"/>
      <c r="P74" s="1333"/>
      <c r="Q74" s="1333"/>
    </row>
    <row r="75" spans="1:17" s="6" customFormat="1">
      <c r="A75" s="355" t="s">
        <v>382</v>
      </c>
      <c r="B75" s="396" t="str">
        <f>VLOOKUP(A75,Catálogo!$B$3:$C$288,2,0)</f>
        <v>SERVICIOS DE GESTIÓN Y APOYO</v>
      </c>
      <c r="C75" s="371">
        <f>SUM(C76:C82)</f>
        <v>325603000</v>
      </c>
      <c r="D75" s="371">
        <f>SUM(D76:D82)</f>
        <v>62490000</v>
      </c>
      <c r="E75" s="371">
        <f>SUM(E76:E82)</f>
        <v>149293000</v>
      </c>
      <c r="F75" s="371">
        <f>SUM(F76:F82)</f>
        <v>113820000</v>
      </c>
      <c r="G75" s="371">
        <f>SUM(G76:G82)</f>
        <v>0</v>
      </c>
      <c r="L75" s="1333"/>
      <c r="M75" s="1333"/>
      <c r="N75" s="1333">
        <f t="shared" si="0"/>
        <v>0</v>
      </c>
      <c r="O75" s="1333"/>
      <c r="P75" s="1333"/>
      <c r="Q75" s="1333"/>
    </row>
    <row r="76" spans="1:17" s="6" customFormat="1" hidden="1">
      <c r="A76" s="356" t="s">
        <v>716</v>
      </c>
      <c r="B76" s="430" t="str">
        <f>VLOOKUP(A76,Catálogo!$B$3:$C$288,2,0)</f>
        <v>Servicios médicos y de laboratorio</v>
      </c>
      <c r="C76" s="370">
        <f t="shared" ref="C76:C82" si="5">SUM(D76:G76)</f>
        <v>0</v>
      </c>
      <c r="D76" s="370">
        <f>[1]GASTOS!F77</f>
        <v>0</v>
      </c>
      <c r="E76" s="370">
        <f>[1]GASTOS!T77</f>
        <v>0</v>
      </c>
      <c r="F76" s="370">
        <f>[1]GASTOS!BD77</f>
        <v>0</v>
      </c>
      <c r="G76" s="370">
        <f>[1]GASTOS!CF77</f>
        <v>0</v>
      </c>
      <c r="L76" s="1333"/>
      <c r="M76" s="1333"/>
      <c r="N76" s="1333">
        <f t="shared" ref="N76:N139" si="6">SUM(L76:M76)</f>
        <v>0</v>
      </c>
      <c r="O76" s="1333">
        <f t="shared" ref="O76:O137" si="7">(C76-N76)+(C76-N76)*$O$5</f>
        <v>0</v>
      </c>
      <c r="P76" s="1333">
        <f t="shared" ref="P76:P137" si="8">O76+O76*$P$5</f>
        <v>0</v>
      </c>
      <c r="Q76" s="1333">
        <f t="shared" ref="Q76:Q137" si="9">P76+P76*$Q$5</f>
        <v>0</v>
      </c>
    </row>
    <row r="77" spans="1:17" s="6" customFormat="1">
      <c r="A77" s="356" t="s">
        <v>384</v>
      </c>
      <c r="B77" s="430" t="str">
        <f>VLOOKUP(A77,Catálogo!$B$3:$C$288,2,0)</f>
        <v xml:space="preserve">Servicios jurídicos </v>
      </c>
      <c r="C77" s="370">
        <f t="shared" si="5"/>
        <v>200000</v>
      </c>
      <c r="D77" s="370">
        <f>[1]GASTOS!F78</f>
        <v>50000</v>
      </c>
      <c r="E77" s="370">
        <f>[1]GASTOS!T78</f>
        <v>0</v>
      </c>
      <c r="F77" s="370">
        <f>[1]GASTOS!BD78</f>
        <v>150000</v>
      </c>
      <c r="G77" s="370">
        <f>[1]GASTOS!CF78</f>
        <v>0</v>
      </c>
      <c r="L77" s="1333"/>
      <c r="M77" s="1333"/>
      <c r="N77" s="1333">
        <f t="shared" si="6"/>
        <v>0</v>
      </c>
      <c r="O77" s="1333">
        <f t="shared" si="7"/>
        <v>210000</v>
      </c>
      <c r="P77" s="1333">
        <f t="shared" si="8"/>
        <v>220500</v>
      </c>
      <c r="Q77" s="1333">
        <f t="shared" si="9"/>
        <v>231525</v>
      </c>
    </row>
    <row r="78" spans="1:17" s="6" customFormat="1">
      <c r="A78" s="356" t="s">
        <v>386</v>
      </c>
      <c r="B78" s="430" t="str">
        <f>VLOOKUP(A78,Catálogo!$B$3:$C$288,2,0)</f>
        <v>Servicios de ingeniería</v>
      </c>
      <c r="C78" s="370">
        <f t="shared" si="5"/>
        <v>114300000</v>
      </c>
      <c r="D78" s="370">
        <f>[1]GASTOS!F79</f>
        <v>0</v>
      </c>
      <c r="E78" s="370">
        <f>[1]GASTOS!T79</f>
        <v>1300000</v>
      </c>
      <c r="F78" s="370">
        <f>[1]GASTOS!BD79</f>
        <v>113000000</v>
      </c>
      <c r="G78" s="370">
        <f>[1]GASTOS!CF79</f>
        <v>0</v>
      </c>
      <c r="L78" s="1333"/>
      <c r="M78" s="1333"/>
      <c r="N78" s="1333">
        <f t="shared" si="6"/>
        <v>0</v>
      </c>
      <c r="O78" s="1333">
        <f t="shared" si="7"/>
        <v>120015000</v>
      </c>
      <c r="P78" s="1333">
        <f t="shared" si="8"/>
        <v>126015750</v>
      </c>
      <c r="Q78" s="1333">
        <f t="shared" si="9"/>
        <v>132316537.5</v>
      </c>
    </row>
    <row r="79" spans="1:17" s="6" customFormat="1" hidden="1">
      <c r="A79" s="356" t="s">
        <v>718</v>
      </c>
      <c r="B79" s="430" t="str">
        <f>VLOOKUP(A79,Catálogo!$B$3:$C$288,2,0)</f>
        <v>Servicios en ciencias económicas y sociales</v>
      </c>
      <c r="C79" s="370">
        <f t="shared" si="5"/>
        <v>0</v>
      </c>
      <c r="D79" s="370">
        <f>[1]GASTOS!F80</f>
        <v>0</v>
      </c>
      <c r="E79" s="370">
        <f>[1]GASTOS!T80</f>
        <v>0</v>
      </c>
      <c r="F79" s="370">
        <f>[1]GASTOS!BD80</f>
        <v>0</v>
      </c>
      <c r="G79" s="370">
        <f>[1]GASTOS!CF80</f>
        <v>0</v>
      </c>
      <c r="L79" s="1333"/>
      <c r="M79" s="1333"/>
      <c r="N79" s="1333">
        <f t="shared" si="6"/>
        <v>0</v>
      </c>
      <c r="O79" s="1333">
        <f t="shared" si="7"/>
        <v>0</v>
      </c>
      <c r="P79" s="1333">
        <f t="shared" si="8"/>
        <v>0</v>
      </c>
      <c r="Q79" s="1333">
        <f t="shared" si="9"/>
        <v>0</v>
      </c>
    </row>
    <row r="80" spans="1:17" s="6" customFormat="1">
      <c r="A80" s="356" t="s">
        <v>720</v>
      </c>
      <c r="B80" s="430" t="str">
        <f>VLOOKUP(A80,Catálogo!$B$3:$C$288,2,0)</f>
        <v>Servicios de desarrollo de sistemas informáticos</v>
      </c>
      <c r="C80" s="370">
        <f t="shared" si="5"/>
        <v>8000000</v>
      </c>
      <c r="D80" s="370">
        <f>[1]GASTOS!F81</f>
        <v>8000000</v>
      </c>
      <c r="E80" s="370">
        <f>[1]GASTOS!T81</f>
        <v>0</v>
      </c>
      <c r="F80" s="370">
        <f>[1]GASTOS!BD81</f>
        <v>0</v>
      </c>
      <c r="G80" s="370">
        <f>[1]GASTOS!CF81</f>
        <v>0</v>
      </c>
      <c r="L80" s="1333"/>
      <c r="M80" s="1333"/>
      <c r="N80" s="1333">
        <f t="shared" si="6"/>
        <v>0</v>
      </c>
      <c r="O80" s="1333">
        <f t="shared" si="7"/>
        <v>8400000</v>
      </c>
      <c r="P80" s="1333">
        <f t="shared" si="8"/>
        <v>8820000</v>
      </c>
      <c r="Q80" s="1333">
        <f t="shared" si="9"/>
        <v>9261000</v>
      </c>
    </row>
    <row r="81" spans="1:17" s="6" customFormat="1">
      <c r="A81" s="356" t="s">
        <v>388</v>
      </c>
      <c r="B81" s="430" t="str">
        <f>VLOOKUP(A81,Catálogo!$B$3:$C$288,2,0)</f>
        <v xml:space="preserve">Servicios generales </v>
      </c>
      <c r="C81" s="370">
        <f t="shared" si="5"/>
        <v>168368000</v>
      </c>
      <c r="D81" s="370">
        <f>[1]GASTOS!F82</f>
        <v>53120000</v>
      </c>
      <c r="E81" s="370">
        <f>[1]GASTOS!T82</f>
        <v>115048000</v>
      </c>
      <c r="F81" s="370">
        <f>[1]GASTOS!BD82</f>
        <v>200000</v>
      </c>
      <c r="G81" s="370">
        <f>[1]GASTOS!CF82</f>
        <v>0</v>
      </c>
      <c r="L81" s="1333"/>
      <c r="M81" s="1333"/>
      <c r="N81" s="1333">
        <f t="shared" si="6"/>
        <v>0</v>
      </c>
      <c r="O81" s="1333">
        <f t="shared" si="7"/>
        <v>176786400</v>
      </c>
      <c r="P81" s="1333">
        <f t="shared" si="8"/>
        <v>185625720</v>
      </c>
      <c r="Q81" s="1333">
        <f t="shared" si="9"/>
        <v>194907006</v>
      </c>
    </row>
    <row r="82" spans="1:17" s="6" customFormat="1">
      <c r="A82" s="356" t="s">
        <v>389</v>
      </c>
      <c r="B82" s="430" t="str">
        <f>VLOOKUP(A82,Catálogo!$B$3:$C$288,2,0)</f>
        <v>Otros servicios de gestión y apoyo</v>
      </c>
      <c r="C82" s="370">
        <f t="shared" si="5"/>
        <v>34735000</v>
      </c>
      <c r="D82" s="370">
        <f>[1]GASTOS!F83</f>
        <v>1320000</v>
      </c>
      <c r="E82" s="370">
        <f>[1]GASTOS!T83</f>
        <v>32945000</v>
      </c>
      <c r="F82" s="370">
        <f>[1]GASTOS!BD83</f>
        <v>470000</v>
      </c>
      <c r="G82" s="370">
        <f>[1]GASTOS!CF83</f>
        <v>0</v>
      </c>
      <c r="L82" s="1333"/>
      <c r="M82" s="1333"/>
      <c r="N82" s="1333">
        <f t="shared" si="6"/>
        <v>0</v>
      </c>
      <c r="O82" s="1333">
        <f t="shared" si="7"/>
        <v>36471750</v>
      </c>
      <c r="P82" s="1333">
        <f t="shared" si="8"/>
        <v>38295337.5</v>
      </c>
      <c r="Q82" s="1333">
        <f t="shared" si="9"/>
        <v>40210104.375</v>
      </c>
    </row>
    <row r="83" spans="1:17" s="6" customFormat="1">
      <c r="A83" s="356"/>
      <c r="B83" s="394"/>
      <c r="C83" s="370"/>
      <c r="D83" s="370"/>
      <c r="E83" s="370"/>
      <c r="F83" s="370"/>
      <c r="G83" s="370"/>
      <c r="L83" s="1333"/>
      <c r="M83" s="1333"/>
      <c r="N83" s="1333">
        <f t="shared" si="6"/>
        <v>0</v>
      </c>
      <c r="O83" s="1333"/>
      <c r="P83" s="1333"/>
      <c r="Q83" s="1333"/>
    </row>
    <row r="84" spans="1:17" s="6" customFormat="1">
      <c r="A84" s="355" t="s">
        <v>390</v>
      </c>
      <c r="B84" s="396" t="str">
        <f>VLOOKUP(A84,Catálogo!$B$3:$C$288,2,0)</f>
        <v>GASTOS DE VIAJE Y TRANSPORTE</v>
      </c>
      <c r="C84" s="371">
        <f>SUM(C85:C88)</f>
        <v>5375000</v>
      </c>
      <c r="D84" s="371">
        <f>SUM(D85:D88)</f>
        <v>2975000</v>
      </c>
      <c r="E84" s="371">
        <f>SUM(E85:E88)</f>
        <v>0</v>
      </c>
      <c r="F84" s="371">
        <f>SUM(F85:F88)</f>
        <v>2400000</v>
      </c>
      <c r="G84" s="371">
        <f>SUM(G85:G88)</f>
        <v>0</v>
      </c>
      <c r="L84" s="1333"/>
      <c r="M84" s="1333"/>
      <c r="N84" s="1333">
        <f t="shared" si="6"/>
        <v>0</v>
      </c>
      <c r="O84" s="1333"/>
      <c r="P84" s="1333"/>
      <c r="Q84" s="1333"/>
    </row>
    <row r="85" spans="1:17" s="6" customFormat="1">
      <c r="A85" s="356" t="s">
        <v>391</v>
      </c>
      <c r="B85" s="430" t="str">
        <f>VLOOKUP(A85,Catálogo!$B$3:$C$288,2,0)</f>
        <v>Transporte dentro del país</v>
      </c>
      <c r="C85" s="370">
        <f>SUM(D85:G85)</f>
        <v>1475000</v>
      </c>
      <c r="D85" s="370">
        <f>[1]GASTOS!F86</f>
        <v>1075000</v>
      </c>
      <c r="E85" s="370">
        <f>[1]GASTOS!T86</f>
        <v>0</v>
      </c>
      <c r="F85" s="370">
        <f>[1]GASTOS!BD86</f>
        <v>400000</v>
      </c>
      <c r="G85" s="370">
        <f>[1]GASTOS!CF86</f>
        <v>0</v>
      </c>
      <c r="L85" s="1333"/>
      <c r="M85" s="1333"/>
      <c r="N85" s="1333">
        <f t="shared" si="6"/>
        <v>0</v>
      </c>
      <c r="O85" s="1333">
        <f t="shared" si="7"/>
        <v>1548750</v>
      </c>
      <c r="P85" s="1333">
        <f t="shared" si="8"/>
        <v>1626187.5</v>
      </c>
      <c r="Q85" s="1333">
        <f t="shared" si="9"/>
        <v>1707496.875</v>
      </c>
    </row>
    <row r="86" spans="1:17" s="6" customFormat="1">
      <c r="A86" s="356" t="s">
        <v>393</v>
      </c>
      <c r="B86" s="430" t="str">
        <f>VLOOKUP(A86,Catálogo!$B$3:$C$288,2,0)</f>
        <v>Viáticos dentro del país</v>
      </c>
      <c r="C86" s="370">
        <f>SUM(D86:G86)</f>
        <v>3900000</v>
      </c>
      <c r="D86" s="370">
        <f>[1]GASTOS!F87</f>
        <v>1900000</v>
      </c>
      <c r="E86" s="370">
        <f>[1]GASTOS!T87</f>
        <v>0</v>
      </c>
      <c r="F86" s="370">
        <f>[1]GASTOS!BD87</f>
        <v>2000000</v>
      </c>
      <c r="G86" s="370">
        <f>[1]GASTOS!CF87</f>
        <v>0</v>
      </c>
      <c r="L86" s="1333"/>
      <c r="M86" s="1333"/>
      <c r="N86" s="1333">
        <f t="shared" si="6"/>
        <v>0</v>
      </c>
      <c r="O86" s="1333">
        <f t="shared" si="7"/>
        <v>4095000</v>
      </c>
      <c r="P86" s="1333">
        <f t="shared" si="8"/>
        <v>4299750</v>
      </c>
      <c r="Q86" s="1333">
        <f t="shared" si="9"/>
        <v>4514737.5</v>
      </c>
    </row>
    <row r="87" spans="1:17" s="6" customFormat="1" hidden="1">
      <c r="A87" s="356" t="s">
        <v>725</v>
      </c>
      <c r="B87" s="430" t="str">
        <f>VLOOKUP(A87,Catálogo!$B$3:$C$288,2,0)</f>
        <v>Transporte en el exterior</v>
      </c>
      <c r="C87" s="370">
        <f>SUM(D87:G87)</f>
        <v>0</v>
      </c>
      <c r="D87" s="370">
        <f>[1]GASTOS!F88</f>
        <v>0</v>
      </c>
      <c r="E87" s="370">
        <f>[1]GASTOS!T88</f>
        <v>0</v>
      </c>
      <c r="F87" s="370">
        <f>[1]GASTOS!BD88</f>
        <v>0</v>
      </c>
      <c r="G87" s="370">
        <f>[1]GASTOS!CF88</f>
        <v>0</v>
      </c>
      <c r="L87" s="1333"/>
      <c r="M87" s="1333"/>
      <c r="N87" s="1333">
        <f t="shared" si="6"/>
        <v>0</v>
      </c>
      <c r="O87" s="1333">
        <f t="shared" si="7"/>
        <v>0</v>
      </c>
      <c r="P87" s="1333">
        <f t="shared" si="8"/>
        <v>0</v>
      </c>
      <c r="Q87" s="1333">
        <f t="shared" si="9"/>
        <v>0</v>
      </c>
    </row>
    <row r="88" spans="1:17" s="6" customFormat="1" hidden="1">
      <c r="A88" s="356" t="s">
        <v>727</v>
      </c>
      <c r="B88" s="430" t="str">
        <f>VLOOKUP(A88,Catálogo!$B$3:$C$288,2,0)</f>
        <v>Viáticos en el exterior</v>
      </c>
      <c r="C88" s="370">
        <f>SUM(D88:G88)</f>
        <v>0</v>
      </c>
      <c r="D88" s="370">
        <f>[1]GASTOS!F89</f>
        <v>0</v>
      </c>
      <c r="E88" s="370">
        <f>[1]GASTOS!T89</f>
        <v>0</v>
      </c>
      <c r="F88" s="370">
        <f>[1]GASTOS!BD89</f>
        <v>0</v>
      </c>
      <c r="G88" s="370">
        <f>[1]GASTOS!CF89</f>
        <v>0</v>
      </c>
      <c r="L88" s="1333"/>
      <c r="M88" s="1333"/>
      <c r="N88" s="1333">
        <f t="shared" si="6"/>
        <v>0</v>
      </c>
      <c r="O88" s="1333">
        <f t="shared" si="7"/>
        <v>0</v>
      </c>
      <c r="P88" s="1333">
        <f t="shared" si="8"/>
        <v>0</v>
      </c>
      <c r="Q88" s="1333">
        <f t="shared" si="9"/>
        <v>0</v>
      </c>
    </row>
    <row r="89" spans="1:17" s="6" customFormat="1">
      <c r="A89" s="356"/>
      <c r="B89" s="394"/>
      <c r="C89" s="370"/>
      <c r="D89" s="370"/>
      <c r="E89" s="370"/>
      <c r="F89" s="370"/>
      <c r="G89" s="370"/>
      <c r="L89" s="1333"/>
      <c r="M89" s="1333"/>
      <c r="N89" s="1333">
        <f t="shared" si="6"/>
        <v>0</v>
      </c>
      <c r="O89" s="1333"/>
      <c r="P89" s="1333"/>
      <c r="Q89" s="1333"/>
    </row>
    <row r="90" spans="1:17" s="6" customFormat="1" ht="33" customHeight="1">
      <c r="A90" s="355" t="s">
        <v>395</v>
      </c>
      <c r="B90" s="396" t="str">
        <f>VLOOKUP(A90,Catálogo!$B$3:$C$288,2,0)</f>
        <v>SEGUROS, REASEGUROS Y OTRAS OBLIGACIONES</v>
      </c>
      <c r="C90" s="371">
        <f>SUM(C91)</f>
        <v>105267431</v>
      </c>
      <c r="D90" s="371">
        <f>SUM(D91:D93)</f>
        <v>24415783</v>
      </c>
      <c r="E90" s="371">
        <f>SUM(E91:E93)</f>
        <v>38758949</v>
      </c>
      <c r="F90" s="371">
        <f>SUM(F91:F93)</f>
        <v>42092699</v>
      </c>
      <c r="G90" s="371">
        <f>SUM(G91:G93)</f>
        <v>0</v>
      </c>
      <c r="L90" s="1333"/>
      <c r="M90" s="1333"/>
      <c r="N90" s="1333">
        <f t="shared" si="6"/>
        <v>0</v>
      </c>
      <c r="O90" s="1333"/>
      <c r="P90" s="1333"/>
      <c r="Q90" s="1333"/>
    </row>
    <row r="91" spans="1:17" s="6" customFormat="1">
      <c r="A91" s="356" t="s">
        <v>397</v>
      </c>
      <c r="B91" s="430" t="str">
        <f>VLOOKUP(A91,Catálogo!$B$3:$C$288,2,0)</f>
        <v xml:space="preserve">Seguros </v>
      </c>
      <c r="C91" s="370">
        <f>SUM(D91:G91)</f>
        <v>105267431</v>
      </c>
      <c r="D91" s="370">
        <f>[1]GASTOS!F92</f>
        <v>24415783</v>
      </c>
      <c r="E91" s="370">
        <f>[1]GASTOS!T92</f>
        <v>38758949</v>
      </c>
      <c r="F91" s="370">
        <f>[1]GASTOS!BD92</f>
        <v>42092699</v>
      </c>
      <c r="G91" s="370">
        <f>[1]GASTOS!CF92</f>
        <v>0</v>
      </c>
      <c r="L91" s="1333"/>
      <c r="M91" s="1333"/>
      <c r="N91" s="1333">
        <f t="shared" si="6"/>
        <v>0</v>
      </c>
      <c r="O91" s="1333">
        <f t="shared" si="7"/>
        <v>110530802.55</v>
      </c>
      <c r="P91" s="1333">
        <f t="shared" si="8"/>
        <v>116057342.67749999</v>
      </c>
      <c r="Q91" s="1333">
        <f t="shared" si="9"/>
        <v>121860209.81137499</v>
      </c>
    </row>
    <row r="92" spans="1:17" s="6" customFormat="1" hidden="1">
      <c r="A92" s="356" t="s">
        <v>730</v>
      </c>
      <c r="B92" s="430" t="str">
        <f>VLOOKUP(A92,Catálogo!$B$3:$C$288,2,0)</f>
        <v xml:space="preserve">Reaseguros </v>
      </c>
      <c r="C92" s="370">
        <f>SUM(D92:G92)</f>
        <v>0</v>
      </c>
      <c r="D92" s="370">
        <f>[1]GASTOS!F93</f>
        <v>0</v>
      </c>
      <c r="E92" s="370">
        <f>[1]GASTOS!T93</f>
        <v>0</v>
      </c>
      <c r="F92" s="370">
        <f>[1]GASTOS!BD93</f>
        <v>0</v>
      </c>
      <c r="G92" s="370">
        <f>[1]GASTOS!CF93</f>
        <v>0</v>
      </c>
      <c r="L92" s="1333"/>
      <c r="M92" s="1333"/>
      <c r="N92" s="1333">
        <f t="shared" si="6"/>
        <v>0</v>
      </c>
      <c r="O92" s="1333">
        <f t="shared" si="7"/>
        <v>0</v>
      </c>
      <c r="P92" s="1333">
        <f t="shared" si="8"/>
        <v>0</v>
      </c>
      <c r="Q92" s="1333">
        <f t="shared" si="9"/>
        <v>0</v>
      </c>
    </row>
    <row r="93" spans="1:17" s="6" customFormat="1" hidden="1">
      <c r="A93" s="356" t="s">
        <v>732</v>
      </c>
      <c r="B93" s="430" t="str">
        <f>VLOOKUP(A93,Catálogo!$B$3:$C$288,2,0)</f>
        <v>Obligaciones por contratos de seguros</v>
      </c>
      <c r="C93" s="370">
        <f>SUM(D93:G93)</f>
        <v>0</v>
      </c>
      <c r="D93" s="370">
        <f>[1]GASTOS!F94</f>
        <v>0</v>
      </c>
      <c r="E93" s="370">
        <f>[1]GASTOS!T94</f>
        <v>0</v>
      </c>
      <c r="F93" s="370">
        <f>[1]GASTOS!BD94</f>
        <v>0</v>
      </c>
      <c r="G93" s="370">
        <f>[1]GASTOS!CF94</f>
        <v>0</v>
      </c>
      <c r="L93" s="1333"/>
      <c r="M93" s="1333"/>
      <c r="N93" s="1333">
        <f t="shared" si="6"/>
        <v>0</v>
      </c>
      <c r="O93" s="1333">
        <f t="shared" si="7"/>
        <v>0</v>
      </c>
      <c r="P93" s="1333">
        <f t="shared" si="8"/>
        <v>0</v>
      </c>
      <c r="Q93" s="1333">
        <f t="shared" si="9"/>
        <v>0</v>
      </c>
    </row>
    <row r="94" spans="1:17" s="6" customFormat="1">
      <c r="A94" s="356"/>
      <c r="B94" s="394"/>
      <c r="C94" s="370"/>
      <c r="D94" s="370"/>
      <c r="E94" s="370"/>
      <c r="F94" s="370"/>
      <c r="G94" s="370"/>
      <c r="L94" s="1333"/>
      <c r="M94" s="1333"/>
      <c r="N94" s="1333">
        <f t="shared" si="6"/>
        <v>0</v>
      </c>
      <c r="O94" s="1333"/>
      <c r="P94" s="1333"/>
      <c r="Q94" s="1333"/>
    </row>
    <row r="95" spans="1:17" s="6" customFormat="1">
      <c r="A95" s="355" t="s">
        <v>398</v>
      </c>
      <c r="B95" s="396" t="str">
        <f>VLOOKUP(A95,Catálogo!$B$3:$C$288,2,0)</f>
        <v>CAPACITACIÓN Y PROTOCOLO</v>
      </c>
      <c r="C95" s="371">
        <f>SUM(C96:C98)</f>
        <v>59050371</v>
      </c>
      <c r="D95" s="371">
        <f>SUM(D96:D98)</f>
        <v>7000000</v>
      </c>
      <c r="E95" s="371">
        <f>SUM(E96:E98)</f>
        <v>49050371</v>
      </c>
      <c r="F95" s="371">
        <f>SUM(F96:F98)</f>
        <v>3000000</v>
      </c>
      <c r="G95" s="371">
        <f>SUM(G96:G98)</f>
        <v>0</v>
      </c>
      <c r="L95" s="1333"/>
      <c r="M95" s="1333"/>
      <c r="N95" s="1333">
        <f t="shared" si="6"/>
        <v>0</v>
      </c>
      <c r="O95" s="1333"/>
      <c r="P95" s="1333"/>
      <c r="Q95" s="1333"/>
    </row>
    <row r="96" spans="1:17" s="6" customFormat="1">
      <c r="A96" s="356" t="s">
        <v>400</v>
      </c>
      <c r="B96" s="430" t="str">
        <f>VLOOKUP(A96,Catálogo!$B$3:$C$288,2,0)</f>
        <v>Actividades de capacitación</v>
      </c>
      <c r="C96" s="370">
        <f>SUM(D96:G96)</f>
        <v>20050000</v>
      </c>
      <c r="D96" s="370">
        <f>[1]GASTOS!F97</f>
        <v>3200000</v>
      </c>
      <c r="E96" s="370">
        <f>[1]GASTOS!T97</f>
        <v>14350000</v>
      </c>
      <c r="F96" s="370">
        <f>[1]GASTOS!BD97</f>
        <v>2500000</v>
      </c>
      <c r="G96" s="370">
        <f>[1]GASTOS!CF97</f>
        <v>0</v>
      </c>
      <c r="L96" s="1333"/>
      <c r="M96" s="1333"/>
      <c r="N96" s="1333">
        <f t="shared" si="6"/>
        <v>0</v>
      </c>
      <c r="O96" s="1333">
        <f t="shared" si="7"/>
        <v>21052500</v>
      </c>
      <c r="P96" s="1333">
        <f t="shared" si="8"/>
        <v>22105125</v>
      </c>
      <c r="Q96" s="1333">
        <f t="shared" si="9"/>
        <v>23210381.25</v>
      </c>
    </row>
    <row r="97" spans="1:17" s="6" customFormat="1">
      <c r="A97" s="356" t="s">
        <v>402</v>
      </c>
      <c r="B97" s="430" t="str">
        <f>VLOOKUP(A97,Catálogo!$B$3:$C$288,2,0)</f>
        <v xml:space="preserve">Actividades protocolarias y sociales </v>
      </c>
      <c r="C97" s="370">
        <f>SUM(D97:G97)</f>
        <v>37300371</v>
      </c>
      <c r="D97" s="370">
        <f>[1]GASTOS!F98</f>
        <v>2100000</v>
      </c>
      <c r="E97" s="370">
        <f>[1]GASTOS!T98</f>
        <v>34700371</v>
      </c>
      <c r="F97" s="370">
        <f>[1]GASTOS!BD98</f>
        <v>500000</v>
      </c>
      <c r="G97" s="370">
        <f>[1]GASTOS!CF98</f>
        <v>0</v>
      </c>
      <c r="L97" s="1333"/>
      <c r="M97" s="1333"/>
      <c r="N97" s="1333">
        <f t="shared" si="6"/>
        <v>0</v>
      </c>
      <c r="O97" s="1333">
        <f t="shared" si="7"/>
        <v>39165389.549999997</v>
      </c>
      <c r="P97" s="1333">
        <f t="shared" si="8"/>
        <v>41123659.027499996</v>
      </c>
      <c r="Q97" s="1333">
        <f t="shared" si="9"/>
        <v>43179841.978874996</v>
      </c>
    </row>
    <row r="98" spans="1:17" s="6" customFormat="1">
      <c r="A98" s="356" t="s">
        <v>404</v>
      </c>
      <c r="B98" s="430" t="str">
        <f>VLOOKUP(A98,Catálogo!$B$3:$C$288,2,0)</f>
        <v>Gastos de representación institucional</v>
      </c>
      <c r="C98" s="370">
        <f>SUM(D98:G98)</f>
        <v>1700000</v>
      </c>
      <c r="D98" s="370">
        <f>[1]GASTOS!F99</f>
        <v>1700000</v>
      </c>
      <c r="E98" s="370">
        <f>[1]GASTOS!T99</f>
        <v>0</v>
      </c>
      <c r="F98" s="370">
        <f>[1]GASTOS!BD99</f>
        <v>0</v>
      </c>
      <c r="G98" s="370">
        <f>[1]GASTOS!CF99</f>
        <v>0</v>
      </c>
      <c r="L98" s="1333"/>
      <c r="M98" s="1333"/>
      <c r="N98" s="1333">
        <f t="shared" si="6"/>
        <v>0</v>
      </c>
      <c r="O98" s="1333">
        <f t="shared" si="7"/>
        <v>1785000</v>
      </c>
      <c r="P98" s="1333">
        <f t="shared" si="8"/>
        <v>1874250</v>
      </c>
      <c r="Q98" s="1333">
        <f t="shared" si="9"/>
        <v>1967962.5</v>
      </c>
    </row>
    <row r="99" spans="1:17" s="6" customFormat="1">
      <c r="A99" s="356"/>
      <c r="B99" s="394"/>
      <c r="C99" s="370"/>
      <c r="D99" s="370"/>
      <c r="E99" s="370"/>
      <c r="F99" s="370"/>
      <c r="G99" s="370"/>
      <c r="L99" s="1333"/>
      <c r="M99" s="1333"/>
      <c r="N99" s="1333">
        <f t="shared" si="6"/>
        <v>0</v>
      </c>
      <c r="O99" s="1333"/>
      <c r="P99" s="1333"/>
      <c r="Q99" s="1333"/>
    </row>
    <row r="100" spans="1:17" s="6" customFormat="1">
      <c r="A100" s="355" t="s">
        <v>406</v>
      </c>
      <c r="B100" s="396" t="str">
        <f>VLOOKUP(A100,Catálogo!$B$3:$C$288,2,0)</f>
        <v>MANTENIMIENTO Y REPARACIÓN</v>
      </c>
      <c r="C100" s="371">
        <f>SUM(C101:C109)</f>
        <v>84760000</v>
      </c>
      <c r="D100" s="371">
        <f>SUM(D101:D109)</f>
        <v>6180000</v>
      </c>
      <c r="E100" s="371">
        <f>SUM(E101:E109)</f>
        <v>28960000</v>
      </c>
      <c r="F100" s="371">
        <f>SUM(F101:F109)</f>
        <v>49620000</v>
      </c>
      <c r="G100" s="371">
        <f>SUM(G101:G109)</f>
        <v>0</v>
      </c>
      <c r="L100" s="1333"/>
      <c r="M100" s="1333"/>
      <c r="N100" s="1333">
        <f t="shared" si="6"/>
        <v>0</v>
      </c>
      <c r="O100" s="1333"/>
      <c r="P100" s="1333"/>
      <c r="Q100" s="1333"/>
    </row>
    <row r="101" spans="1:17" s="6" customFormat="1">
      <c r="A101" s="356" t="s">
        <v>408</v>
      </c>
      <c r="B101" s="430" t="str">
        <f>VLOOKUP(A101,Catálogo!$B$3:$C$288,2,0)</f>
        <v>Mantenimiento de edificios, locales y terrenos</v>
      </c>
      <c r="C101" s="370">
        <f t="shared" ref="C101:C109" si="10">SUM(D101:G101)</f>
        <v>19375000</v>
      </c>
      <c r="D101" s="370">
        <f>[1]GASTOS!F102</f>
        <v>25000</v>
      </c>
      <c r="E101" s="370">
        <f>[1]GASTOS!T102</f>
        <v>19350000</v>
      </c>
      <c r="F101" s="370">
        <f>[1]GASTOS!BD102</f>
        <v>0</v>
      </c>
      <c r="G101" s="370">
        <f>[1]GASTOS!CF102</f>
        <v>0</v>
      </c>
      <c r="L101" s="1333"/>
      <c r="M101" s="1333"/>
      <c r="N101" s="1333">
        <f t="shared" si="6"/>
        <v>0</v>
      </c>
      <c r="O101" s="1333">
        <f t="shared" si="7"/>
        <v>20343750</v>
      </c>
      <c r="P101" s="1333">
        <f t="shared" si="8"/>
        <v>21360937.5</v>
      </c>
      <c r="Q101" s="1333">
        <f t="shared" si="9"/>
        <v>22428984.375</v>
      </c>
    </row>
    <row r="102" spans="1:17" s="6" customFormat="1" hidden="1">
      <c r="A102" s="356" t="s">
        <v>734</v>
      </c>
      <c r="B102" s="430" t="str">
        <f>VLOOKUP(A102,Catálogo!$B$3:$C$288,2,0)</f>
        <v>Mantenimiento de vías de comunicación</v>
      </c>
      <c r="C102" s="370">
        <f t="shared" si="10"/>
        <v>0</v>
      </c>
      <c r="D102" s="370">
        <f>[1]GASTOS!F103</f>
        <v>0</v>
      </c>
      <c r="E102" s="370">
        <f>[1]GASTOS!T103</f>
        <v>0</v>
      </c>
      <c r="F102" s="370">
        <f>[1]GASTOS!BD103</f>
        <v>0</v>
      </c>
      <c r="G102" s="370">
        <f>[1]GASTOS!CF103</f>
        <v>0</v>
      </c>
      <c r="L102" s="1333"/>
      <c r="M102" s="1333"/>
      <c r="N102" s="1333">
        <f t="shared" si="6"/>
        <v>0</v>
      </c>
      <c r="O102" s="1333">
        <f t="shared" si="7"/>
        <v>0</v>
      </c>
      <c r="P102" s="1333">
        <f t="shared" si="8"/>
        <v>0</v>
      </c>
      <c r="Q102" s="1333">
        <f t="shared" si="9"/>
        <v>0</v>
      </c>
    </row>
    <row r="103" spans="1:17" s="6" customFormat="1" hidden="1">
      <c r="A103" s="356" t="s">
        <v>409</v>
      </c>
      <c r="B103" s="430" t="str">
        <f>VLOOKUP(A103,Catálogo!$B$3:$C$288,2,0)</f>
        <v>Mantenimiento de instalaciones y otras obras</v>
      </c>
      <c r="C103" s="370">
        <f t="shared" si="10"/>
        <v>0</v>
      </c>
      <c r="D103" s="370">
        <f>[1]GASTOS!F104</f>
        <v>0</v>
      </c>
      <c r="E103" s="370">
        <f>[1]GASTOS!T104</f>
        <v>0</v>
      </c>
      <c r="F103" s="370">
        <f>[1]GASTOS!BD104</f>
        <v>0</v>
      </c>
      <c r="G103" s="370">
        <f>[1]GASTOS!CF104</f>
        <v>0</v>
      </c>
      <c r="L103" s="1333"/>
      <c r="M103" s="1333"/>
      <c r="N103" s="1333">
        <f t="shared" si="6"/>
        <v>0</v>
      </c>
      <c r="O103" s="1333">
        <f t="shared" si="7"/>
        <v>0</v>
      </c>
      <c r="P103" s="1333">
        <f t="shared" si="8"/>
        <v>0</v>
      </c>
      <c r="Q103" s="1333">
        <f t="shared" si="9"/>
        <v>0</v>
      </c>
    </row>
    <row r="104" spans="1:17" s="6" customFormat="1" ht="24.75">
      <c r="A104" s="356" t="s">
        <v>410</v>
      </c>
      <c r="B104" s="430" t="str">
        <f>VLOOKUP(A104,Catálogo!$B$3:$C$288,2,0)</f>
        <v>Mantenimiento y reparación de maquinaria y equipo de producción</v>
      </c>
      <c r="C104" s="370">
        <f t="shared" si="10"/>
        <v>23200000</v>
      </c>
      <c r="D104" s="370">
        <f>[1]GASTOS!F105</f>
        <v>0</v>
      </c>
      <c r="E104" s="370">
        <f>[1]GASTOS!T105</f>
        <v>3200000</v>
      </c>
      <c r="F104" s="370">
        <f>[1]GASTOS!BD105</f>
        <v>20000000</v>
      </c>
      <c r="G104" s="370">
        <f>[1]GASTOS!CF105</f>
        <v>0</v>
      </c>
      <c r="L104" s="1333"/>
      <c r="M104" s="1333"/>
      <c r="N104" s="1333">
        <f t="shared" si="6"/>
        <v>0</v>
      </c>
      <c r="O104" s="1333">
        <f t="shared" si="7"/>
        <v>24360000</v>
      </c>
      <c r="P104" s="1333">
        <f t="shared" si="8"/>
        <v>25578000</v>
      </c>
      <c r="Q104" s="1333">
        <f t="shared" si="9"/>
        <v>26856900</v>
      </c>
    </row>
    <row r="105" spans="1:17" s="6" customFormat="1">
      <c r="A105" s="356" t="s">
        <v>411</v>
      </c>
      <c r="B105" s="430" t="str">
        <f>VLOOKUP(A105,Catálogo!$B$3:$C$288,2,0)</f>
        <v>Mantenimiento y reparación de equipo de transporte</v>
      </c>
      <c r="C105" s="370">
        <f t="shared" si="10"/>
        <v>35955000</v>
      </c>
      <c r="D105" s="370">
        <f>[1]GASTOS!F106</f>
        <v>1795000</v>
      </c>
      <c r="E105" s="370">
        <f>[1]GASTOS!T106</f>
        <v>5360000</v>
      </c>
      <c r="F105" s="370">
        <f>[1]GASTOS!BD106</f>
        <v>28800000</v>
      </c>
      <c r="G105" s="370">
        <f>[1]GASTOS!CF106</f>
        <v>0</v>
      </c>
      <c r="L105" s="1333"/>
      <c r="M105" s="1333"/>
      <c r="N105" s="1333">
        <f t="shared" si="6"/>
        <v>0</v>
      </c>
      <c r="O105" s="1333">
        <f t="shared" si="7"/>
        <v>37752750</v>
      </c>
      <c r="P105" s="1333">
        <f t="shared" si="8"/>
        <v>39640387.5</v>
      </c>
      <c r="Q105" s="1333">
        <f t="shared" si="9"/>
        <v>41622406.875</v>
      </c>
    </row>
    <row r="106" spans="1:17" s="6" customFormat="1" ht="24.75">
      <c r="A106" s="356" t="s">
        <v>412</v>
      </c>
      <c r="B106" s="430" t="str">
        <f>VLOOKUP(A106,Catálogo!$B$3:$C$288,2,0)</f>
        <v>Mantenimiento y reparación de equipo de comunicación</v>
      </c>
      <c r="C106" s="370">
        <f t="shared" si="10"/>
        <v>1020000</v>
      </c>
      <c r="D106" s="370">
        <f>[1]GASTOS!F107</f>
        <v>650000</v>
      </c>
      <c r="E106" s="370">
        <f>[1]GASTOS!T107</f>
        <v>300000</v>
      </c>
      <c r="F106" s="370">
        <f>[1]GASTOS!BD107</f>
        <v>70000</v>
      </c>
      <c r="G106" s="370">
        <f>[1]GASTOS!CF107</f>
        <v>0</v>
      </c>
      <c r="L106" s="1333"/>
      <c r="M106" s="1333"/>
      <c r="N106" s="1333">
        <f t="shared" si="6"/>
        <v>0</v>
      </c>
      <c r="O106" s="1333">
        <f t="shared" si="7"/>
        <v>1071000</v>
      </c>
      <c r="P106" s="1333">
        <f t="shared" si="8"/>
        <v>1124550</v>
      </c>
      <c r="Q106" s="1333">
        <f t="shared" si="9"/>
        <v>1180777.5</v>
      </c>
    </row>
    <row r="107" spans="1:17" s="6" customFormat="1" ht="24.75">
      <c r="A107" s="356" t="s">
        <v>415</v>
      </c>
      <c r="B107" s="430" t="str">
        <f>VLOOKUP(A107,Catálogo!$B$3:$C$288,2,0)</f>
        <v>Mantenimiento y reparación de equipo y mobiliario de oficina</v>
      </c>
      <c r="C107" s="370">
        <f t="shared" si="10"/>
        <v>3180000</v>
      </c>
      <c r="D107" s="370">
        <f>[1]GASTOS!F108</f>
        <v>2130000</v>
      </c>
      <c r="E107" s="370">
        <f>[1]GASTOS!T108</f>
        <v>550000</v>
      </c>
      <c r="F107" s="370">
        <f>[1]GASTOS!BD108</f>
        <v>500000</v>
      </c>
      <c r="G107" s="370">
        <f>[1]GASTOS!CF108</f>
        <v>0</v>
      </c>
      <c r="L107" s="1333"/>
      <c r="M107" s="1333"/>
      <c r="N107" s="1333">
        <f t="shared" si="6"/>
        <v>0</v>
      </c>
      <c r="O107" s="1333">
        <f t="shared" si="7"/>
        <v>3339000</v>
      </c>
      <c r="P107" s="1333">
        <f t="shared" si="8"/>
        <v>3505950</v>
      </c>
      <c r="Q107" s="1333">
        <f t="shared" si="9"/>
        <v>3681247.5</v>
      </c>
    </row>
    <row r="108" spans="1:17" s="6" customFormat="1" ht="24.75">
      <c r="A108" s="356" t="s">
        <v>416</v>
      </c>
      <c r="B108" s="430" t="str">
        <f>VLOOKUP(A108,Catálogo!$B$3:$C$288,2,0)</f>
        <v>Mantenimiento y reparación de equipo de cómputo y  sistemas de información</v>
      </c>
      <c r="C108" s="370">
        <f t="shared" si="10"/>
        <v>1780000</v>
      </c>
      <c r="D108" s="370">
        <f>[1]GASTOS!F109</f>
        <v>1330000</v>
      </c>
      <c r="E108" s="370">
        <f>[1]GASTOS!T109</f>
        <v>200000</v>
      </c>
      <c r="F108" s="370">
        <f>[1]GASTOS!BD109</f>
        <v>250000</v>
      </c>
      <c r="G108" s="370">
        <f>[1]GASTOS!CF109</f>
        <v>0</v>
      </c>
      <c r="L108" s="1333"/>
      <c r="M108" s="1333"/>
      <c r="N108" s="1333">
        <f t="shared" si="6"/>
        <v>0</v>
      </c>
      <c r="O108" s="1333">
        <f t="shared" si="7"/>
        <v>1869000</v>
      </c>
      <c r="P108" s="1333">
        <f t="shared" si="8"/>
        <v>1962450</v>
      </c>
      <c r="Q108" s="1333">
        <f t="shared" si="9"/>
        <v>2060572.5</v>
      </c>
    </row>
    <row r="109" spans="1:17" s="6" customFormat="1">
      <c r="A109" s="356" t="s">
        <v>1079</v>
      </c>
      <c r="B109" s="430" t="str">
        <f>VLOOKUP(A109,Catálogo!$B$3:$C$288,2,0)</f>
        <v>Mantenimiento y reparación de otros equipos</v>
      </c>
      <c r="C109" s="370">
        <f t="shared" si="10"/>
        <v>250000</v>
      </c>
      <c r="D109" s="370">
        <f>[1]GASTOS!F110</f>
        <v>250000</v>
      </c>
      <c r="E109" s="370">
        <f>[1]GASTOS!T110</f>
        <v>0</v>
      </c>
      <c r="F109" s="370">
        <f>[1]GASTOS!BD110</f>
        <v>0</v>
      </c>
      <c r="G109" s="370">
        <f>[1]GASTOS!CF110</f>
        <v>0</v>
      </c>
      <c r="L109" s="1333"/>
      <c r="M109" s="1333"/>
      <c r="N109" s="1333">
        <f t="shared" si="6"/>
        <v>0</v>
      </c>
      <c r="O109" s="1333">
        <f t="shared" si="7"/>
        <v>262500</v>
      </c>
      <c r="P109" s="1333">
        <f t="shared" si="8"/>
        <v>275625</v>
      </c>
      <c r="Q109" s="1333">
        <f t="shared" si="9"/>
        <v>289406.25</v>
      </c>
    </row>
    <row r="110" spans="1:17" s="6" customFormat="1">
      <c r="A110" s="356"/>
      <c r="B110" s="430"/>
      <c r="C110" s="370"/>
      <c r="D110" s="370"/>
      <c r="E110" s="370"/>
      <c r="F110" s="370"/>
      <c r="G110" s="370"/>
      <c r="L110" s="1333"/>
      <c r="M110" s="1333"/>
      <c r="N110" s="1333">
        <f t="shared" si="6"/>
        <v>0</v>
      </c>
      <c r="O110" s="1333"/>
      <c r="P110" s="1333"/>
      <c r="Q110" s="1333"/>
    </row>
    <row r="111" spans="1:17" s="6" customFormat="1">
      <c r="A111" s="356"/>
      <c r="B111" s="394"/>
      <c r="C111" s="370"/>
      <c r="D111" s="370"/>
      <c r="E111" s="370"/>
      <c r="F111" s="370"/>
      <c r="G111" s="370"/>
      <c r="L111" s="1333"/>
      <c r="M111" s="1333"/>
      <c r="N111" s="1333">
        <f t="shared" si="6"/>
        <v>0</v>
      </c>
      <c r="O111" s="1333"/>
      <c r="P111" s="1333"/>
      <c r="Q111" s="1333"/>
    </row>
    <row r="112" spans="1:17" s="129" customFormat="1">
      <c r="A112" s="355" t="s">
        <v>1153</v>
      </c>
      <c r="B112" s="396" t="str">
        <f>VLOOKUP(A112,Catálogo!$B$3:$C$288,2,0)</f>
        <v>IMPUESTOS</v>
      </c>
      <c r="C112" s="371">
        <f>SUM(C113:C116)</f>
        <v>792000</v>
      </c>
      <c r="D112" s="371">
        <f>SUM(D113:D116)</f>
        <v>330000</v>
      </c>
      <c r="E112" s="371">
        <f>SUM(E113:E116)</f>
        <v>102000</v>
      </c>
      <c r="F112" s="371">
        <f>SUM(F113:F116)</f>
        <v>360000</v>
      </c>
      <c r="G112" s="371">
        <f>SUM(G113:G116)</f>
        <v>0</v>
      </c>
      <c r="L112" s="1333"/>
      <c r="M112" s="1333"/>
      <c r="N112" s="1333">
        <f t="shared" si="6"/>
        <v>0</v>
      </c>
      <c r="O112" s="1333"/>
      <c r="P112" s="1333"/>
      <c r="Q112" s="1333"/>
    </row>
    <row r="113" spans="1:17" s="129" customFormat="1" hidden="1">
      <c r="A113" s="356" t="s">
        <v>1175</v>
      </c>
      <c r="B113" s="697" t="str">
        <f>VLOOKUP(A113,Catálogo!$B$3:$C$288,2,0)</f>
        <v>Impuestos sobre ingresos y utilidades</v>
      </c>
      <c r="C113" s="698">
        <f>SUM(D113:G113)</f>
        <v>0</v>
      </c>
      <c r="D113" s="698">
        <f>[1]GASTOS!F113</f>
        <v>0</v>
      </c>
      <c r="E113" s="698">
        <f>[1]GASTOS!T113</f>
        <v>0</v>
      </c>
      <c r="F113" s="698">
        <f>[1]GASTOS!BD113</f>
        <v>0</v>
      </c>
      <c r="G113" s="698">
        <f>[1]GASTOS!CF113</f>
        <v>0</v>
      </c>
      <c r="L113" s="1333"/>
      <c r="M113" s="1333"/>
      <c r="N113" s="1333">
        <f t="shared" si="6"/>
        <v>0</v>
      </c>
      <c r="O113" s="1333">
        <f t="shared" si="7"/>
        <v>0</v>
      </c>
      <c r="P113" s="1333">
        <f t="shared" si="8"/>
        <v>0</v>
      </c>
      <c r="Q113" s="1333">
        <f t="shared" si="9"/>
        <v>0</v>
      </c>
    </row>
    <row r="114" spans="1:17" s="129" customFormat="1" hidden="1">
      <c r="A114" s="356" t="s">
        <v>743</v>
      </c>
      <c r="B114" s="697" t="str">
        <f>VLOOKUP(A114,Catálogo!$B$3:$C$288,2,0)</f>
        <v xml:space="preserve">Impuestos sobre bienes inmuebles          </v>
      </c>
      <c r="C114" s="698">
        <f>SUM(D114:G114)</f>
        <v>0</v>
      </c>
      <c r="D114" s="698">
        <f>[1]GASTOS!F114</f>
        <v>0</v>
      </c>
      <c r="E114" s="698">
        <f>[1]GASTOS!T114</f>
        <v>0</v>
      </c>
      <c r="F114" s="698">
        <f>[1]GASTOS!BD114</f>
        <v>0</v>
      </c>
      <c r="G114" s="698">
        <f>[1]GASTOS!CF114</f>
        <v>0</v>
      </c>
      <c r="L114" s="1333"/>
      <c r="M114" s="1333"/>
      <c r="N114" s="1333">
        <f t="shared" si="6"/>
        <v>0</v>
      </c>
      <c r="O114" s="1333">
        <f t="shared" si="7"/>
        <v>0</v>
      </c>
      <c r="P114" s="1333">
        <f t="shared" si="8"/>
        <v>0</v>
      </c>
      <c r="Q114" s="1333">
        <f t="shared" si="9"/>
        <v>0</v>
      </c>
    </row>
    <row r="115" spans="1:17" s="129" customFormat="1" hidden="1">
      <c r="A115" s="356" t="s">
        <v>745</v>
      </c>
      <c r="B115" s="697" t="str">
        <f>VLOOKUP(A115,Catálogo!$B$3:$C$288,2,0)</f>
        <v>Impuestos de patentes</v>
      </c>
      <c r="C115" s="698">
        <f>SUM(D115:G115)</f>
        <v>0</v>
      </c>
      <c r="D115" s="698">
        <f>[1]GASTOS!F115</f>
        <v>0</v>
      </c>
      <c r="E115" s="698">
        <f>[1]GASTOS!T115</f>
        <v>0</v>
      </c>
      <c r="F115" s="698">
        <f>[1]GASTOS!BD115</f>
        <v>0</v>
      </c>
      <c r="G115" s="698">
        <f>[1]GASTOS!CF115</f>
        <v>0</v>
      </c>
      <c r="L115" s="1333"/>
      <c r="M115" s="1333"/>
      <c r="N115" s="1333">
        <f t="shared" si="6"/>
        <v>0</v>
      </c>
      <c r="O115" s="1333">
        <f t="shared" si="7"/>
        <v>0</v>
      </c>
      <c r="P115" s="1333">
        <f t="shared" si="8"/>
        <v>0</v>
      </c>
      <c r="Q115" s="1333">
        <f t="shared" si="9"/>
        <v>0</v>
      </c>
    </row>
    <row r="116" spans="1:17" s="129" customFormat="1">
      <c r="A116" s="356" t="s">
        <v>418</v>
      </c>
      <c r="B116" s="697" t="str">
        <f>VLOOKUP(A116,Catálogo!$B$3:$C$288,2,0)</f>
        <v>Otros impuestos</v>
      </c>
      <c r="C116" s="698">
        <f>SUM(D116:G116)</f>
        <v>792000</v>
      </c>
      <c r="D116" s="698">
        <f>[1]GASTOS!F116</f>
        <v>330000</v>
      </c>
      <c r="E116" s="698">
        <f>[1]GASTOS!T116</f>
        <v>102000</v>
      </c>
      <c r="F116" s="698">
        <f>[1]GASTOS!BD116</f>
        <v>360000</v>
      </c>
      <c r="G116" s="698">
        <f>[1]GASTOS!CF116</f>
        <v>0</v>
      </c>
      <c r="L116" s="1333"/>
      <c r="M116" s="1333"/>
      <c r="N116" s="1333">
        <f t="shared" si="6"/>
        <v>0</v>
      </c>
      <c r="O116" s="1333">
        <f t="shared" si="7"/>
        <v>831600</v>
      </c>
      <c r="P116" s="1333">
        <f t="shared" si="8"/>
        <v>873180</v>
      </c>
      <c r="Q116" s="1333">
        <f t="shared" si="9"/>
        <v>916839</v>
      </c>
    </row>
    <row r="117" spans="1:17" s="129" customFormat="1">
      <c r="A117" s="358"/>
      <c r="B117" s="394"/>
      <c r="C117" s="698"/>
      <c r="D117" s="698"/>
      <c r="E117" s="698"/>
      <c r="F117" s="698"/>
      <c r="G117" s="698"/>
      <c r="L117" s="1333"/>
      <c r="M117" s="1333"/>
      <c r="N117" s="1333">
        <f t="shared" si="6"/>
        <v>0</v>
      </c>
      <c r="O117" s="1333"/>
      <c r="P117" s="1333"/>
      <c r="Q117" s="1333"/>
    </row>
    <row r="118" spans="1:17" s="129" customFormat="1">
      <c r="A118" s="355" t="s">
        <v>1154</v>
      </c>
      <c r="B118" s="396" t="str">
        <f>VLOOKUP(A118,Catálogo!$B$3:$C$288,2,0)</f>
        <v>SERVICIOS DIVERSOS</v>
      </c>
      <c r="C118" s="371">
        <f>SUM(C119:C124)</f>
        <v>1000000</v>
      </c>
      <c r="D118" s="371">
        <f>SUM(D119:D124)</f>
        <v>0</v>
      </c>
      <c r="E118" s="371">
        <f>SUM(E119:E124)</f>
        <v>0</v>
      </c>
      <c r="F118" s="371">
        <f>SUM(F119:F124)</f>
        <v>1000000</v>
      </c>
      <c r="G118" s="371">
        <f>SUM(G119:G124)</f>
        <v>0</v>
      </c>
      <c r="L118" s="1333"/>
      <c r="M118" s="1333"/>
      <c r="N118" s="1333">
        <f t="shared" si="6"/>
        <v>0</v>
      </c>
      <c r="O118" s="1333"/>
      <c r="P118" s="1333"/>
      <c r="Q118" s="1333"/>
    </row>
    <row r="119" spans="1:17" s="129" customFormat="1" hidden="1">
      <c r="A119" s="356" t="s">
        <v>748</v>
      </c>
      <c r="B119" s="697" t="str">
        <f>VLOOKUP(A119,Catálogo!$B$3:$C$288,2,0)</f>
        <v>Servicios de regulación</v>
      </c>
      <c r="C119" s="698">
        <f t="shared" ref="C119:C124" si="11">SUM(D119:G119)</f>
        <v>0</v>
      </c>
      <c r="D119" s="698">
        <f>[1]GASTOS!F119</f>
        <v>0</v>
      </c>
      <c r="E119" s="698">
        <f>[1]GASTOS!T119</f>
        <v>0</v>
      </c>
      <c r="F119" s="698">
        <f>[1]GASTOS!BD119</f>
        <v>0</v>
      </c>
      <c r="G119" s="698">
        <f>[1]GASTOS!CF119</f>
        <v>0</v>
      </c>
      <c r="L119" s="1333"/>
      <c r="M119" s="1333"/>
      <c r="N119" s="1333">
        <f t="shared" si="6"/>
        <v>0</v>
      </c>
      <c r="O119" s="1333">
        <f t="shared" si="7"/>
        <v>0</v>
      </c>
      <c r="P119" s="1333">
        <f t="shared" si="8"/>
        <v>0</v>
      </c>
      <c r="Q119" s="1333">
        <f t="shared" si="9"/>
        <v>0</v>
      </c>
    </row>
    <row r="120" spans="1:17" s="129" customFormat="1" hidden="1">
      <c r="A120" s="356" t="s">
        <v>750</v>
      </c>
      <c r="B120" s="697" t="str">
        <f>VLOOKUP(A120,Catálogo!$B$3:$C$288,2,0)</f>
        <v>Intereses moratorios y multas</v>
      </c>
      <c r="C120" s="698">
        <f t="shared" si="11"/>
        <v>0</v>
      </c>
      <c r="D120" s="698">
        <f>[1]GASTOS!F120</f>
        <v>0</v>
      </c>
      <c r="E120" s="698">
        <f>[1]GASTOS!T120</f>
        <v>0</v>
      </c>
      <c r="F120" s="698">
        <f>[1]GASTOS!BD120</f>
        <v>0</v>
      </c>
      <c r="G120" s="698">
        <f>[1]GASTOS!CF120</f>
        <v>0</v>
      </c>
      <c r="L120" s="1333"/>
      <c r="M120" s="1333"/>
      <c r="N120" s="1333">
        <f t="shared" si="6"/>
        <v>0</v>
      </c>
      <c r="O120" s="1333">
        <f t="shared" si="7"/>
        <v>0</v>
      </c>
      <c r="P120" s="1333">
        <f t="shared" si="8"/>
        <v>0</v>
      </c>
      <c r="Q120" s="1333">
        <f t="shared" si="9"/>
        <v>0</v>
      </c>
    </row>
    <row r="121" spans="1:17" s="129" customFormat="1" hidden="1">
      <c r="A121" s="356" t="s">
        <v>752</v>
      </c>
      <c r="B121" s="697" t="str">
        <f>VLOOKUP(A121,Catálogo!$B$3:$C$288,2,0)</f>
        <v>Gastos de oficinas en el exterior</v>
      </c>
      <c r="C121" s="698">
        <f t="shared" si="11"/>
        <v>0</v>
      </c>
      <c r="D121" s="698">
        <f>[1]GASTOS!F121</f>
        <v>0</v>
      </c>
      <c r="E121" s="698">
        <f>[1]GASTOS!T121</f>
        <v>0</v>
      </c>
      <c r="F121" s="698">
        <f>[1]GASTOS!BD121</f>
        <v>0</v>
      </c>
      <c r="G121" s="698">
        <f>[1]GASTOS!CF121</f>
        <v>0</v>
      </c>
      <c r="L121" s="1333"/>
      <c r="M121" s="1333"/>
      <c r="N121" s="1333">
        <f t="shared" si="6"/>
        <v>0</v>
      </c>
      <c r="O121" s="1333">
        <f t="shared" si="7"/>
        <v>0</v>
      </c>
      <c r="P121" s="1333">
        <f t="shared" si="8"/>
        <v>0</v>
      </c>
      <c r="Q121" s="1333">
        <f t="shared" si="9"/>
        <v>0</v>
      </c>
    </row>
    <row r="122" spans="1:17" s="129" customFormat="1" hidden="1">
      <c r="A122" s="356" t="s">
        <v>754</v>
      </c>
      <c r="B122" s="697" t="str">
        <f>VLOOKUP(A122,Catálogo!$B$3:$C$288,2,0)</f>
        <v>Gastos de misiones especiales en el exterior</v>
      </c>
      <c r="C122" s="698">
        <f t="shared" si="11"/>
        <v>0</v>
      </c>
      <c r="D122" s="698">
        <f>[1]GASTOS!F122</f>
        <v>0</v>
      </c>
      <c r="E122" s="698">
        <f>[1]GASTOS!T122</f>
        <v>0</v>
      </c>
      <c r="F122" s="698">
        <f>[1]GASTOS!BD122</f>
        <v>0</v>
      </c>
      <c r="G122" s="698">
        <f>[1]GASTOS!CF122</f>
        <v>0</v>
      </c>
      <c r="L122" s="1333"/>
      <c r="M122" s="1333"/>
      <c r="N122" s="1333">
        <f t="shared" si="6"/>
        <v>0</v>
      </c>
      <c r="O122" s="1333">
        <f t="shared" si="7"/>
        <v>0</v>
      </c>
      <c r="P122" s="1333">
        <f t="shared" si="8"/>
        <v>0</v>
      </c>
      <c r="Q122" s="1333">
        <f t="shared" si="9"/>
        <v>0</v>
      </c>
    </row>
    <row r="123" spans="1:17" s="129" customFormat="1">
      <c r="A123" s="356" t="s">
        <v>512</v>
      </c>
      <c r="B123" s="697" t="str">
        <f>VLOOKUP(A123,Catálogo!$B$3:$C$288,2,0)</f>
        <v>Deducibles</v>
      </c>
      <c r="C123" s="698">
        <f t="shared" si="11"/>
        <v>1000000</v>
      </c>
      <c r="D123" s="698">
        <f>[1]GASTOS!F123</f>
        <v>0</v>
      </c>
      <c r="E123" s="698">
        <f>[1]GASTOS!T123</f>
        <v>0</v>
      </c>
      <c r="F123" s="698">
        <f>[1]GASTOS!BD123</f>
        <v>1000000</v>
      </c>
      <c r="G123" s="698">
        <f>[1]GASTOS!CF123</f>
        <v>0</v>
      </c>
      <c r="L123" s="1333"/>
      <c r="M123" s="1333"/>
      <c r="N123" s="1333">
        <f t="shared" si="6"/>
        <v>0</v>
      </c>
      <c r="O123" s="1333">
        <f t="shared" si="7"/>
        <v>1050000</v>
      </c>
      <c r="P123" s="1333">
        <f t="shared" si="8"/>
        <v>1102500</v>
      </c>
      <c r="Q123" s="1333">
        <f t="shared" si="9"/>
        <v>1157625</v>
      </c>
    </row>
    <row r="124" spans="1:17" s="6" customFormat="1" hidden="1">
      <c r="A124" s="185" t="s">
        <v>641</v>
      </c>
      <c r="B124" s="430" t="str">
        <f>VLOOKUP(A124,Catálogo!$B$3:$C$288,2,0)</f>
        <v>Otros servicios no especificados</v>
      </c>
      <c r="C124" s="370">
        <f t="shared" si="11"/>
        <v>0</v>
      </c>
      <c r="D124" s="370">
        <f>[1]GASTOS!F124</f>
        <v>0</v>
      </c>
      <c r="E124" s="370">
        <f>[1]GASTOS!T124</f>
        <v>0</v>
      </c>
      <c r="F124" s="370">
        <f>[1]GASTOS!BD124</f>
        <v>0</v>
      </c>
      <c r="G124" s="370">
        <f>[1]GASTOS!CF124</f>
        <v>0</v>
      </c>
      <c r="L124" s="1333"/>
      <c r="M124" s="1333"/>
      <c r="N124" s="1333">
        <f t="shared" si="6"/>
        <v>0</v>
      </c>
      <c r="O124" s="1333">
        <f t="shared" si="7"/>
        <v>0</v>
      </c>
      <c r="P124" s="1333">
        <f t="shared" si="8"/>
        <v>0</v>
      </c>
      <c r="Q124" s="1333">
        <f t="shared" si="9"/>
        <v>0</v>
      </c>
    </row>
    <row r="125" spans="1:17" s="6" customFormat="1" hidden="1">
      <c r="A125" s="185"/>
      <c r="B125" s="397"/>
      <c r="C125" s="370"/>
      <c r="D125" s="370"/>
      <c r="E125" s="370"/>
      <c r="F125" s="370"/>
      <c r="G125" s="370"/>
      <c r="L125" s="1333"/>
      <c r="M125" s="1333"/>
      <c r="N125" s="1333">
        <f t="shared" si="6"/>
        <v>0</v>
      </c>
      <c r="O125" s="1333">
        <f t="shared" si="7"/>
        <v>0</v>
      </c>
      <c r="P125" s="1333">
        <f t="shared" si="8"/>
        <v>0</v>
      </c>
      <c r="Q125" s="1333">
        <f t="shared" si="9"/>
        <v>0</v>
      </c>
    </row>
    <row r="126" spans="1:17" s="6" customFormat="1">
      <c r="A126" s="185"/>
      <c r="B126" s="397"/>
      <c r="C126" s="370"/>
      <c r="D126" s="370"/>
      <c r="E126" s="370"/>
      <c r="F126" s="370"/>
      <c r="G126" s="370"/>
      <c r="L126" s="1333"/>
      <c r="M126" s="1333"/>
      <c r="N126" s="1333">
        <f t="shared" si="6"/>
        <v>0</v>
      </c>
      <c r="O126" s="1333"/>
      <c r="P126" s="1333"/>
      <c r="Q126" s="1333"/>
    </row>
    <row r="127" spans="1:17" s="6" customFormat="1">
      <c r="A127" s="185"/>
      <c r="B127" s="397"/>
      <c r="C127" s="370"/>
      <c r="D127" s="370"/>
      <c r="E127" s="370"/>
      <c r="F127" s="370"/>
      <c r="G127" s="370"/>
      <c r="L127" s="1333"/>
      <c r="M127" s="1333"/>
      <c r="N127" s="1333">
        <f t="shared" si="6"/>
        <v>0</v>
      </c>
      <c r="O127" s="1333"/>
      <c r="P127" s="1333"/>
      <c r="Q127" s="1333"/>
    </row>
    <row r="128" spans="1:17" s="6" customFormat="1">
      <c r="A128" s="185"/>
      <c r="B128" s="397"/>
      <c r="C128" s="370"/>
      <c r="D128" s="370"/>
      <c r="E128" s="370"/>
      <c r="F128" s="370"/>
      <c r="G128" s="370"/>
      <c r="L128" s="1333"/>
      <c r="M128" s="1333"/>
      <c r="N128" s="1333">
        <f t="shared" si="6"/>
        <v>0</v>
      </c>
      <c r="O128" s="1333"/>
      <c r="P128" s="1333"/>
      <c r="Q128" s="1333"/>
    </row>
    <row r="129" spans="1:17" s="6" customFormat="1">
      <c r="A129" s="185"/>
      <c r="B129" s="397"/>
      <c r="C129" s="370"/>
      <c r="D129" s="370"/>
      <c r="E129" s="370"/>
      <c r="F129" s="370"/>
      <c r="G129" s="370"/>
      <c r="L129" s="1333"/>
      <c r="M129" s="1333"/>
      <c r="N129" s="1333">
        <f t="shared" si="6"/>
        <v>0</v>
      </c>
      <c r="O129" s="1333"/>
      <c r="P129" s="1333"/>
      <c r="Q129" s="1333"/>
    </row>
    <row r="130" spans="1:17" s="13" customFormat="1" ht="18.75">
      <c r="A130" s="353">
        <v>2</v>
      </c>
      <c r="B130" s="687" t="s">
        <v>58</v>
      </c>
      <c r="C130" s="369">
        <f>C132+C139+C145+C154+C158</f>
        <v>985596883</v>
      </c>
      <c r="D130" s="369">
        <f>D132+D139+D145+D154+D158</f>
        <v>47900650</v>
      </c>
      <c r="E130" s="369">
        <f>E132+E139+E145+E154+E158</f>
        <v>420024283</v>
      </c>
      <c r="F130" s="369">
        <f>F132+F139+F145+F154+F158</f>
        <v>517671950</v>
      </c>
      <c r="G130" s="369">
        <f>G132+G139+G145+G154+G158</f>
        <v>0</v>
      </c>
      <c r="H130" s="784">
        <f>[1]GASTOS!$D$127</f>
        <v>985596883</v>
      </c>
      <c r="I130" s="784">
        <f>H130-C130</f>
        <v>0</v>
      </c>
      <c r="L130" s="1333"/>
      <c r="M130" s="1333"/>
      <c r="N130" s="1333">
        <f t="shared" si="6"/>
        <v>0</v>
      </c>
      <c r="O130" s="1333"/>
      <c r="P130" s="1333"/>
      <c r="Q130" s="1333"/>
    </row>
    <row r="131" spans="1:17" s="13" customFormat="1">
      <c r="A131" s="356"/>
      <c r="B131" s="394"/>
      <c r="C131" s="370"/>
      <c r="D131" s="370"/>
      <c r="E131" s="370"/>
      <c r="F131" s="370"/>
      <c r="G131" s="370"/>
      <c r="L131" s="1333"/>
      <c r="M131" s="1333"/>
      <c r="N131" s="1333">
        <f t="shared" si="6"/>
        <v>0</v>
      </c>
      <c r="O131" s="1333"/>
      <c r="P131" s="1333"/>
      <c r="Q131" s="1333"/>
    </row>
    <row r="132" spans="1:17" s="13" customFormat="1">
      <c r="A132" s="355" t="s">
        <v>421</v>
      </c>
      <c r="B132" s="396" t="str">
        <f>VLOOKUP(A132,Catálogo!$B$3:$C$288,2,0)</f>
        <v>PRODUCTOS QUÍMICOS Y CONEXOS</v>
      </c>
      <c r="C132" s="371">
        <f>SUM(C133:C137)</f>
        <v>367028371</v>
      </c>
      <c r="D132" s="371">
        <f>SUM(D133:D137)</f>
        <v>18294000</v>
      </c>
      <c r="E132" s="371">
        <f>SUM(E133:E137)</f>
        <v>143254371</v>
      </c>
      <c r="F132" s="371">
        <f>SUM(F133:F137)</f>
        <v>205480000</v>
      </c>
      <c r="G132" s="371">
        <f>SUM(G133:G137)</f>
        <v>0</v>
      </c>
      <c r="L132" s="1333"/>
      <c r="M132" s="1333"/>
      <c r="N132" s="1333">
        <f t="shared" si="6"/>
        <v>0</v>
      </c>
      <c r="O132" s="1333"/>
      <c r="P132" s="1333"/>
      <c r="Q132" s="1333"/>
    </row>
    <row r="133" spans="1:17" s="13" customFormat="1">
      <c r="A133" s="356" t="s">
        <v>423</v>
      </c>
      <c r="B133" s="430" t="str">
        <f>VLOOKUP(A133,Catálogo!$B$3:$C$288,2,0)</f>
        <v>Combustibles y lubricantes</v>
      </c>
      <c r="C133" s="370">
        <f>SUM(D133:G133)</f>
        <v>317815500</v>
      </c>
      <c r="D133" s="370">
        <f>[1]GASTOS!F130</f>
        <v>4670000</v>
      </c>
      <c r="E133" s="370">
        <f>[1]GASTOS!T130</f>
        <v>116945500</v>
      </c>
      <c r="F133" s="370">
        <f>[1]GASTOS!BD130</f>
        <v>196200000</v>
      </c>
      <c r="G133" s="370">
        <f>[1]GASTOS!CF130</f>
        <v>0</v>
      </c>
      <c r="L133" s="1333"/>
      <c r="M133" s="1333"/>
      <c r="N133" s="1333">
        <f t="shared" si="6"/>
        <v>0</v>
      </c>
      <c r="O133" s="1333">
        <f t="shared" si="7"/>
        <v>333706275</v>
      </c>
      <c r="P133" s="1333">
        <f t="shared" si="8"/>
        <v>350391588.75</v>
      </c>
      <c r="Q133" s="1333">
        <f t="shared" si="9"/>
        <v>367911168.1875</v>
      </c>
    </row>
    <row r="134" spans="1:17" s="13" customFormat="1">
      <c r="A134" s="356" t="s">
        <v>425</v>
      </c>
      <c r="B134" s="430" t="str">
        <f>VLOOKUP(A134,Catálogo!$B$3:$C$288,2,0)</f>
        <v>Productos farmacéuticos y medicinales</v>
      </c>
      <c r="C134" s="370">
        <f>SUM(D134:G134)</f>
        <v>7682260</v>
      </c>
      <c r="D134" s="370">
        <f>[1]GASTOS!F131</f>
        <v>675000</v>
      </c>
      <c r="E134" s="370">
        <f>[1]GASTOS!T131</f>
        <v>6807260</v>
      </c>
      <c r="F134" s="370">
        <f>[1]GASTOS!BD131</f>
        <v>200000</v>
      </c>
      <c r="G134" s="370">
        <f>[1]GASTOS!CF131</f>
        <v>0</v>
      </c>
      <c r="L134" s="1333"/>
      <c r="M134" s="1333"/>
      <c r="N134" s="1333">
        <f t="shared" si="6"/>
        <v>0</v>
      </c>
      <c r="O134" s="1333">
        <f t="shared" si="7"/>
        <v>8066373</v>
      </c>
      <c r="P134" s="1333">
        <f t="shared" si="8"/>
        <v>8469691.6500000004</v>
      </c>
      <c r="Q134" s="1333">
        <f t="shared" si="9"/>
        <v>8893176.2324999999</v>
      </c>
    </row>
    <row r="135" spans="1:17" s="13" customFormat="1" hidden="1">
      <c r="A135" s="356" t="s">
        <v>757</v>
      </c>
      <c r="B135" s="430" t="str">
        <f>VLOOKUP(A135,Catálogo!$B$3:$C$288,2,0)</f>
        <v>Productos veterinarios</v>
      </c>
      <c r="C135" s="370">
        <f>SUM(D135:G135)</f>
        <v>0</v>
      </c>
      <c r="D135" s="370">
        <f>[1]GASTOS!F132</f>
        <v>0</v>
      </c>
      <c r="E135" s="370">
        <f>[1]GASTOS!T132</f>
        <v>0</v>
      </c>
      <c r="F135" s="370">
        <f>[1]GASTOS!BD132</f>
        <v>0</v>
      </c>
      <c r="G135" s="370">
        <f>[1]GASTOS!CF132</f>
        <v>0</v>
      </c>
      <c r="L135" s="1333"/>
      <c r="M135" s="1333"/>
      <c r="N135" s="1333">
        <f t="shared" si="6"/>
        <v>0</v>
      </c>
      <c r="O135" s="1333">
        <f t="shared" si="7"/>
        <v>0</v>
      </c>
      <c r="P135" s="1333">
        <f t="shared" si="8"/>
        <v>0</v>
      </c>
      <c r="Q135" s="1333">
        <f t="shared" si="9"/>
        <v>0</v>
      </c>
    </row>
    <row r="136" spans="1:17" s="13" customFormat="1">
      <c r="A136" s="356" t="s">
        <v>427</v>
      </c>
      <c r="B136" s="430" t="str">
        <f>VLOOKUP(A136,Catálogo!$B$3:$C$288,2,0)</f>
        <v xml:space="preserve">Tintas, pinturas y diluyentes </v>
      </c>
      <c r="C136" s="370">
        <f>SUM(D136:G136)</f>
        <v>34125611</v>
      </c>
      <c r="D136" s="370">
        <f>[1]GASTOS!F133</f>
        <v>12874000</v>
      </c>
      <c r="E136" s="370">
        <f>[1]GASTOS!T133</f>
        <v>18151611</v>
      </c>
      <c r="F136" s="370">
        <f>[1]GASTOS!BD133</f>
        <v>3100000</v>
      </c>
      <c r="G136" s="370">
        <f>[1]GASTOS!CF133</f>
        <v>0</v>
      </c>
      <c r="L136" s="1333"/>
      <c r="M136" s="1333"/>
      <c r="N136" s="1333">
        <f t="shared" si="6"/>
        <v>0</v>
      </c>
      <c r="O136" s="1333">
        <f t="shared" si="7"/>
        <v>35831891.549999997</v>
      </c>
      <c r="P136" s="1333">
        <f t="shared" si="8"/>
        <v>37623486.127499998</v>
      </c>
      <c r="Q136" s="1333">
        <f t="shared" si="9"/>
        <v>39504660.433874995</v>
      </c>
    </row>
    <row r="137" spans="1:17" s="13" customFormat="1">
      <c r="A137" s="356" t="s">
        <v>429</v>
      </c>
      <c r="B137" s="430" t="str">
        <f>VLOOKUP(A137,Catálogo!$B$3:$C$288,2,0)</f>
        <v>Otros productos químicos y conexos</v>
      </c>
      <c r="C137" s="370">
        <f>SUM(D137:G137)</f>
        <v>7405000</v>
      </c>
      <c r="D137" s="370">
        <f>[1]GASTOS!F134</f>
        <v>75000</v>
      </c>
      <c r="E137" s="370">
        <f>[1]GASTOS!T134</f>
        <v>1350000</v>
      </c>
      <c r="F137" s="370">
        <f>[1]GASTOS!BD134</f>
        <v>5980000</v>
      </c>
      <c r="G137" s="370">
        <f>[1]GASTOS!CF134</f>
        <v>0</v>
      </c>
      <c r="L137" s="1333"/>
      <c r="M137" s="1333"/>
      <c r="N137" s="1333">
        <f t="shared" si="6"/>
        <v>0</v>
      </c>
      <c r="O137" s="1333">
        <f t="shared" si="7"/>
        <v>7775250</v>
      </c>
      <c r="P137" s="1333">
        <f t="shared" si="8"/>
        <v>8164012.5</v>
      </c>
      <c r="Q137" s="1333">
        <f t="shared" si="9"/>
        <v>8572213.125</v>
      </c>
    </row>
    <row r="138" spans="1:17" s="13" customFormat="1">
      <c r="A138" s="356"/>
      <c r="B138" s="394"/>
      <c r="C138" s="370"/>
      <c r="D138" s="370"/>
      <c r="E138" s="370"/>
      <c r="F138" s="370"/>
      <c r="G138" s="370"/>
      <c r="L138" s="1333"/>
      <c r="M138" s="1333"/>
      <c r="N138" s="1333">
        <f t="shared" si="6"/>
        <v>0</v>
      </c>
      <c r="O138" s="1333"/>
      <c r="P138" s="1333"/>
      <c r="Q138" s="1333"/>
    </row>
    <row r="139" spans="1:17" s="13" customFormat="1">
      <c r="A139" s="355" t="s">
        <v>430</v>
      </c>
      <c r="B139" s="396" t="str">
        <f>VLOOKUP(A139,Catálogo!$B$3:$C$288,2,0)</f>
        <v xml:space="preserve">ALIMENTOS Y PRODUCTOS AGROPECUARIOS </v>
      </c>
      <c r="C139" s="371">
        <f>SUM(C140:C143)</f>
        <v>9532000</v>
      </c>
      <c r="D139" s="371">
        <f>SUM(D140:D143)</f>
        <v>332000</v>
      </c>
      <c r="E139" s="371">
        <f>SUM(E140:E143)</f>
        <v>1200000</v>
      </c>
      <c r="F139" s="371">
        <f>SUM(F140:F143)</f>
        <v>8000000</v>
      </c>
      <c r="G139" s="371">
        <f>SUM(G140:G143)</f>
        <v>0</v>
      </c>
      <c r="L139" s="1333"/>
      <c r="M139" s="1333"/>
      <c r="N139" s="1333">
        <f t="shared" si="6"/>
        <v>0</v>
      </c>
      <c r="O139" s="1333"/>
      <c r="P139" s="1333"/>
      <c r="Q139" s="1333"/>
    </row>
    <row r="140" spans="1:17" s="13" customFormat="1" hidden="1">
      <c r="A140" s="356" t="s">
        <v>760</v>
      </c>
      <c r="B140" s="430" t="str">
        <f>VLOOKUP(A140,Catálogo!$B$3:$C$288,2,0)</f>
        <v>Productos pecuarios y otras especies</v>
      </c>
      <c r="C140" s="370">
        <f>SUM(D140:G140)</f>
        <v>0</v>
      </c>
      <c r="D140" s="370">
        <f>[1]GASTOS!F137</f>
        <v>0</v>
      </c>
      <c r="E140" s="370">
        <f>[1]GASTOS!T137</f>
        <v>0</v>
      </c>
      <c r="F140" s="370">
        <f>[1]GASTOS!BD137</f>
        <v>0</v>
      </c>
      <c r="G140" s="370">
        <f>[1]GASTOS!CF137</f>
        <v>0</v>
      </c>
      <c r="L140" s="1333"/>
      <c r="M140" s="1333"/>
      <c r="N140" s="1333">
        <f t="shared" ref="N140:N203" si="12">SUM(L140:M140)</f>
        <v>0</v>
      </c>
      <c r="O140" s="1333">
        <f t="shared" ref="O140:O203" si="13">(C140-N140)+(C140-N140)*$O$5</f>
        <v>0</v>
      </c>
      <c r="P140" s="1333">
        <f t="shared" ref="P140:P203" si="14">O140+O140*$P$5</f>
        <v>0</v>
      </c>
      <c r="Q140" s="1333">
        <f t="shared" ref="Q140:Q203" si="15">P140+P140*$Q$5</f>
        <v>0</v>
      </c>
    </row>
    <row r="141" spans="1:17" s="13" customFormat="1">
      <c r="A141" s="356" t="s">
        <v>1081</v>
      </c>
      <c r="B141" s="430" t="str">
        <f>VLOOKUP(A141,Catálogo!$B$3:$C$288,2,0)</f>
        <v>Productos agroforestales</v>
      </c>
      <c r="C141" s="370">
        <f>SUM(D141:G141)</f>
        <v>9210000</v>
      </c>
      <c r="D141" s="370">
        <f>[1]GASTOS!F138</f>
        <v>60000</v>
      </c>
      <c r="E141" s="370">
        <f>[1]GASTOS!T138</f>
        <v>1150000</v>
      </c>
      <c r="F141" s="370">
        <f>[1]GASTOS!BD138</f>
        <v>8000000</v>
      </c>
      <c r="G141" s="370">
        <f>[1]GASTOS!CF138</f>
        <v>0</v>
      </c>
      <c r="L141" s="1333"/>
      <c r="M141" s="1333"/>
      <c r="N141" s="1333">
        <f t="shared" si="12"/>
        <v>0</v>
      </c>
      <c r="O141" s="1333">
        <f t="shared" si="13"/>
        <v>9670500</v>
      </c>
      <c r="P141" s="1333">
        <f t="shared" si="14"/>
        <v>10154025</v>
      </c>
      <c r="Q141" s="1333">
        <f t="shared" si="15"/>
        <v>10661726.25</v>
      </c>
    </row>
    <row r="142" spans="1:17" s="13" customFormat="1">
      <c r="A142" s="356" t="s">
        <v>431</v>
      </c>
      <c r="B142" s="430" t="str">
        <f>VLOOKUP(A142,Catálogo!$B$3:$C$288,2,0)</f>
        <v>Alimentos y bebidas</v>
      </c>
      <c r="C142" s="370">
        <f>SUM(D142:G142)</f>
        <v>272000</v>
      </c>
      <c r="D142" s="370">
        <f>[1]GASTOS!F139</f>
        <v>272000</v>
      </c>
      <c r="E142" s="370">
        <f>[1]GASTOS!T139</f>
        <v>0</v>
      </c>
      <c r="F142" s="370">
        <f>[1]GASTOS!BD139</f>
        <v>0</v>
      </c>
      <c r="G142" s="370">
        <f>[1]GASTOS!CF139</f>
        <v>0</v>
      </c>
      <c r="L142" s="1333"/>
      <c r="M142" s="1333"/>
      <c r="N142" s="1333">
        <f t="shared" si="12"/>
        <v>0</v>
      </c>
      <c r="O142" s="1333">
        <f t="shared" si="13"/>
        <v>285600</v>
      </c>
      <c r="P142" s="1333">
        <f t="shared" si="14"/>
        <v>299880</v>
      </c>
      <c r="Q142" s="1333">
        <f t="shared" si="15"/>
        <v>314874</v>
      </c>
    </row>
    <row r="143" spans="1:17" s="13" customFormat="1">
      <c r="A143" s="356" t="s">
        <v>642</v>
      </c>
      <c r="B143" s="430" t="str">
        <f>VLOOKUP(A143,Catálogo!$B$3:$C$288,2,0)</f>
        <v>Alimentos para animales</v>
      </c>
      <c r="C143" s="370">
        <f>SUM(D143:G143)</f>
        <v>50000</v>
      </c>
      <c r="D143" s="370">
        <f>[1]GASTOS!F140</f>
        <v>0</v>
      </c>
      <c r="E143" s="370">
        <f>[1]GASTOS!T140</f>
        <v>50000</v>
      </c>
      <c r="F143" s="370">
        <f>[1]GASTOS!BD140</f>
        <v>0</v>
      </c>
      <c r="G143" s="370">
        <f>[1]GASTOS!CF140</f>
        <v>0</v>
      </c>
      <c r="L143" s="1333"/>
      <c r="M143" s="1333"/>
      <c r="N143" s="1333">
        <f t="shared" si="12"/>
        <v>0</v>
      </c>
      <c r="O143" s="1333">
        <f t="shared" si="13"/>
        <v>52500</v>
      </c>
      <c r="P143" s="1333">
        <f t="shared" si="14"/>
        <v>55125</v>
      </c>
      <c r="Q143" s="1333">
        <f t="shared" si="15"/>
        <v>57881.25</v>
      </c>
    </row>
    <row r="144" spans="1:17" s="13" customFormat="1">
      <c r="A144" s="356"/>
      <c r="B144" s="394"/>
      <c r="C144" s="370"/>
      <c r="D144" s="370"/>
      <c r="E144" s="370"/>
      <c r="F144" s="370"/>
      <c r="G144" s="370"/>
      <c r="L144" s="1333"/>
      <c r="M144" s="1333"/>
      <c r="N144" s="1333">
        <f t="shared" si="12"/>
        <v>0</v>
      </c>
      <c r="O144" s="1333"/>
      <c r="P144" s="1333"/>
      <c r="Q144" s="1333"/>
    </row>
    <row r="145" spans="1:17" s="13" customFormat="1" ht="24.75">
      <c r="A145" s="357" t="s">
        <v>433</v>
      </c>
      <c r="B145" s="396" t="str">
        <f>VLOOKUP(A145,Catálogo!$B$3:$C$288,2,0)</f>
        <v>MATERIALES Y PRODUCTOS DE USO EN LA CONSTRUCCIÓN Y MANTENIMIENTO</v>
      </c>
      <c r="C145" s="371">
        <f>SUM(C146:C152)</f>
        <v>336325700</v>
      </c>
      <c r="D145" s="371">
        <f>SUM(D146:D152)</f>
        <v>2793000</v>
      </c>
      <c r="E145" s="371">
        <f>SUM(E146:E152)</f>
        <v>191405750</v>
      </c>
      <c r="F145" s="371">
        <f>SUM(F146:F152)</f>
        <v>142126950</v>
      </c>
      <c r="G145" s="371">
        <f>SUM(G146:G152)</f>
        <v>0</v>
      </c>
      <c r="L145" s="1333"/>
      <c r="M145" s="1333"/>
      <c r="N145" s="1333">
        <f t="shared" si="12"/>
        <v>0</v>
      </c>
      <c r="O145" s="1333"/>
      <c r="P145" s="1333"/>
      <c r="Q145" s="1333"/>
    </row>
    <row r="146" spans="1:17" s="13" customFormat="1">
      <c r="A146" s="356" t="s">
        <v>435</v>
      </c>
      <c r="B146" s="430" t="str">
        <f>VLOOKUP(A146,Catálogo!$B$3:$C$288,2,0)</f>
        <v>Materiales y productos metálicos</v>
      </c>
      <c r="C146" s="370">
        <f t="shared" ref="C146:C152" si="16">SUM(D146:G146)</f>
        <v>80986000</v>
      </c>
      <c r="D146" s="370">
        <f>[1]GASTOS!F143</f>
        <v>1648000</v>
      </c>
      <c r="E146" s="370">
        <f>[1]GASTOS!T143</f>
        <v>54588000</v>
      </c>
      <c r="F146" s="370">
        <f>[1]GASTOS!BD143</f>
        <v>24750000</v>
      </c>
      <c r="G146" s="370">
        <f>[1]GASTOS!CF143</f>
        <v>0</v>
      </c>
      <c r="L146" s="1333"/>
      <c r="M146" s="1333"/>
      <c r="N146" s="1333">
        <f t="shared" si="12"/>
        <v>0</v>
      </c>
      <c r="O146" s="1333">
        <f t="shared" si="13"/>
        <v>85035300</v>
      </c>
      <c r="P146" s="1333">
        <f t="shared" si="14"/>
        <v>89287065</v>
      </c>
      <c r="Q146" s="1333">
        <f t="shared" si="15"/>
        <v>93751418.25</v>
      </c>
    </row>
    <row r="147" spans="1:17" s="13" customFormat="1">
      <c r="A147" s="356" t="s">
        <v>437</v>
      </c>
      <c r="B147" s="430" t="str">
        <f>VLOOKUP(A147,Catálogo!$B$3:$C$288,2,0)</f>
        <v>Materiales y productos minerales y asfálticos</v>
      </c>
      <c r="C147" s="370">
        <f t="shared" si="16"/>
        <v>201037700</v>
      </c>
      <c r="D147" s="370">
        <f>[1]GASTOS!F144</f>
        <v>0</v>
      </c>
      <c r="E147" s="370">
        <f>[1]GASTOS!T144</f>
        <v>84260750</v>
      </c>
      <c r="F147" s="370">
        <f>[1]GASTOS!BD144</f>
        <v>116776950</v>
      </c>
      <c r="G147" s="370">
        <f>[1]GASTOS!CF144</f>
        <v>0</v>
      </c>
      <c r="L147" s="1333"/>
      <c r="M147" s="1333"/>
      <c r="N147" s="1333">
        <f t="shared" si="12"/>
        <v>0</v>
      </c>
      <c r="O147" s="1333">
        <f t="shared" si="13"/>
        <v>211089585</v>
      </c>
      <c r="P147" s="1333">
        <f t="shared" si="14"/>
        <v>221644064.25</v>
      </c>
      <c r="Q147" s="1333">
        <f t="shared" si="15"/>
        <v>232726267.46250001</v>
      </c>
    </row>
    <row r="148" spans="1:17" s="13" customFormat="1">
      <c r="A148" s="356" t="s">
        <v>439</v>
      </c>
      <c r="B148" s="430" t="str">
        <f>VLOOKUP(A148,Catálogo!$B$3:$C$288,2,0)</f>
        <v>Madera y sus derivados</v>
      </c>
      <c r="C148" s="370">
        <f t="shared" si="16"/>
        <v>5058000</v>
      </c>
      <c r="D148" s="370">
        <f>[1]GASTOS!F145</f>
        <v>100000</v>
      </c>
      <c r="E148" s="370">
        <f>[1]GASTOS!T145</f>
        <v>4958000</v>
      </c>
      <c r="F148" s="370">
        <f>[1]GASTOS!BD145</f>
        <v>0</v>
      </c>
      <c r="G148" s="370">
        <f>[1]GASTOS!CF145</f>
        <v>0</v>
      </c>
      <c r="L148" s="1333"/>
      <c r="M148" s="1333"/>
      <c r="N148" s="1333">
        <f t="shared" si="12"/>
        <v>0</v>
      </c>
      <c r="O148" s="1333">
        <f t="shared" si="13"/>
        <v>5310900</v>
      </c>
      <c r="P148" s="1333">
        <f t="shared" si="14"/>
        <v>5576445</v>
      </c>
      <c r="Q148" s="1333">
        <f t="shared" si="15"/>
        <v>5855267.25</v>
      </c>
    </row>
    <row r="149" spans="1:17" s="13" customFormat="1" ht="24.75">
      <c r="A149" s="356" t="s">
        <v>441</v>
      </c>
      <c r="B149" s="430" t="str">
        <f>VLOOKUP(A149,Catálogo!$B$3:$C$288,2,0)</f>
        <v>Materiales y productos eléctricos, telefónicos y de cómputo</v>
      </c>
      <c r="C149" s="370">
        <f t="shared" si="16"/>
        <v>42181000</v>
      </c>
      <c r="D149" s="370">
        <f>[1]GASTOS!F146</f>
        <v>710000</v>
      </c>
      <c r="E149" s="370">
        <f>[1]GASTOS!T146</f>
        <v>41121000</v>
      </c>
      <c r="F149" s="370">
        <f>[1]GASTOS!BD146</f>
        <v>350000</v>
      </c>
      <c r="G149" s="370">
        <f>[1]GASTOS!CF146</f>
        <v>0</v>
      </c>
      <c r="L149" s="1333"/>
      <c r="M149" s="1333"/>
      <c r="N149" s="1333">
        <f t="shared" si="12"/>
        <v>0</v>
      </c>
      <c r="O149" s="1333">
        <f t="shared" si="13"/>
        <v>44290050</v>
      </c>
      <c r="P149" s="1333">
        <f t="shared" si="14"/>
        <v>46504552.5</v>
      </c>
      <c r="Q149" s="1333">
        <f t="shared" si="15"/>
        <v>48829780.125</v>
      </c>
    </row>
    <row r="150" spans="1:17" s="13" customFormat="1">
      <c r="A150" s="356" t="s">
        <v>1083</v>
      </c>
      <c r="B150" s="430" t="str">
        <f>VLOOKUP(A150,Catálogo!$B$3:$C$288,2,0)</f>
        <v>Materiales y productos de vidrio</v>
      </c>
      <c r="C150" s="370">
        <f t="shared" si="16"/>
        <v>1780000</v>
      </c>
      <c r="D150" s="370">
        <f>[1]GASTOS!F147</f>
        <v>300000</v>
      </c>
      <c r="E150" s="370">
        <f>[1]GASTOS!T147</f>
        <v>1430000</v>
      </c>
      <c r="F150" s="370">
        <f>[1]GASTOS!BD147</f>
        <v>50000</v>
      </c>
      <c r="G150" s="370">
        <f>[1]GASTOS!CF147</f>
        <v>0</v>
      </c>
      <c r="L150" s="1333"/>
      <c r="M150" s="1333"/>
      <c r="N150" s="1333">
        <f t="shared" si="12"/>
        <v>0</v>
      </c>
      <c r="O150" s="1333">
        <f t="shared" si="13"/>
        <v>1869000</v>
      </c>
      <c r="P150" s="1333">
        <f t="shared" si="14"/>
        <v>1962450</v>
      </c>
      <c r="Q150" s="1333">
        <f t="shared" si="15"/>
        <v>2060572.5</v>
      </c>
    </row>
    <row r="151" spans="1:17" s="13" customFormat="1">
      <c r="A151" s="356" t="s">
        <v>442</v>
      </c>
      <c r="B151" s="430" t="str">
        <f>VLOOKUP(A151,Catálogo!$B$3:$C$288,2,0)</f>
        <v>Materiales y productos de plástico</v>
      </c>
      <c r="C151" s="370">
        <f t="shared" si="16"/>
        <v>3740000</v>
      </c>
      <c r="D151" s="370">
        <f>[1]GASTOS!F148</f>
        <v>5000</v>
      </c>
      <c r="E151" s="370">
        <f>[1]GASTOS!T148</f>
        <v>3585000</v>
      </c>
      <c r="F151" s="370">
        <f>[1]GASTOS!BD148</f>
        <v>150000</v>
      </c>
      <c r="G151" s="370">
        <f>[1]GASTOS!CF148</f>
        <v>0</v>
      </c>
      <c r="L151" s="1333"/>
      <c r="M151" s="1333"/>
      <c r="N151" s="1333">
        <f t="shared" si="12"/>
        <v>0</v>
      </c>
      <c r="O151" s="1333">
        <f t="shared" si="13"/>
        <v>3927000</v>
      </c>
      <c r="P151" s="1333">
        <f t="shared" si="14"/>
        <v>4123350</v>
      </c>
      <c r="Q151" s="1333">
        <f t="shared" si="15"/>
        <v>4329517.5</v>
      </c>
    </row>
    <row r="152" spans="1:17" s="13" customFormat="1" ht="24.75">
      <c r="A152" s="356" t="s">
        <v>444</v>
      </c>
      <c r="B152" s="430" t="str">
        <f>VLOOKUP(A152,Catálogo!$B$3:$C$288,2,0)</f>
        <v>Otros materiales y productos de uso en la construcción y mantenimiento</v>
      </c>
      <c r="C152" s="370">
        <f t="shared" si="16"/>
        <v>1543000</v>
      </c>
      <c r="D152" s="370">
        <f>[1]GASTOS!F149</f>
        <v>30000</v>
      </c>
      <c r="E152" s="370">
        <f>[1]GASTOS!T149</f>
        <v>1463000</v>
      </c>
      <c r="F152" s="370">
        <f>[1]GASTOS!BD149</f>
        <v>50000</v>
      </c>
      <c r="G152" s="370">
        <f>[1]GASTOS!CF149</f>
        <v>0</v>
      </c>
      <c r="L152" s="1333"/>
      <c r="M152" s="1333"/>
      <c r="N152" s="1333">
        <f t="shared" si="12"/>
        <v>0</v>
      </c>
      <c r="O152" s="1333">
        <f t="shared" si="13"/>
        <v>1620150</v>
      </c>
      <c r="P152" s="1333">
        <f t="shared" si="14"/>
        <v>1701157.5</v>
      </c>
      <c r="Q152" s="1333">
        <f t="shared" si="15"/>
        <v>1786215.375</v>
      </c>
    </row>
    <row r="153" spans="1:17" s="13" customFormat="1">
      <c r="A153" s="356"/>
      <c r="B153" s="394"/>
      <c r="C153" s="370"/>
      <c r="D153" s="370"/>
      <c r="E153" s="370"/>
      <c r="F153" s="370"/>
      <c r="G153" s="370"/>
      <c r="L153" s="1333"/>
      <c r="M153" s="1333"/>
      <c r="N153" s="1333">
        <f t="shared" si="12"/>
        <v>0</v>
      </c>
      <c r="O153" s="1333"/>
      <c r="P153" s="1333"/>
      <c r="Q153" s="1333"/>
    </row>
    <row r="154" spans="1:17" s="13" customFormat="1">
      <c r="A154" s="355" t="s">
        <v>445</v>
      </c>
      <c r="B154" s="396" t="str">
        <f>VLOOKUP(A154,Catálogo!$B$3:$C$288,2,0)</f>
        <v>HERRAMIENTAS, REPUESTOS Y ACCESORIOS</v>
      </c>
      <c r="C154" s="371">
        <f>SUM(C155:C156)</f>
        <v>194826253</v>
      </c>
      <c r="D154" s="371">
        <f>SUM(D155:D156)</f>
        <v>4825000</v>
      </c>
      <c r="E154" s="371">
        <f>SUM(E155:E156)</f>
        <v>34501253</v>
      </c>
      <c r="F154" s="371">
        <f>SUM(F155:F156)</f>
        <v>155500000</v>
      </c>
      <c r="G154" s="371">
        <f>SUM(G155:G156)</f>
        <v>0</v>
      </c>
      <c r="L154" s="1333"/>
      <c r="M154" s="1333"/>
      <c r="N154" s="1333">
        <f t="shared" si="12"/>
        <v>0</v>
      </c>
      <c r="O154" s="1333"/>
      <c r="P154" s="1333"/>
      <c r="Q154" s="1333"/>
    </row>
    <row r="155" spans="1:17" s="13" customFormat="1">
      <c r="A155" s="356" t="s">
        <v>447</v>
      </c>
      <c r="B155" s="430" t="str">
        <f>VLOOKUP(A155,Catálogo!$B$3:$C$288,2,0)</f>
        <v>Herramientas e instrumentos</v>
      </c>
      <c r="C155" s="370">
        <f>SUM(D155:G155)</f>
        <v>6855000</v>
      </c>
      <c r="D155" s="370">
        <f>[1]GASTOS!F152</f>
        <v>2025000</v>
      </c>
      <c r="E155" s="370">
        <f>[1]GASTOS!T152</f>
        <v>3030000</v>
      </c>
      <c r="F155" s="370">
        <f>[1]GASTOS!BD152</f>
        <v>1800000</v>
      </c>
      <c r="G155" s="370">
        <f>[1]GASTOS!CF152</f>
        <v>0</v>
      </c>
      <c r="L155" s="1333"/>
      <c r="M155" s="1333"/>
      <c r="N155" s="1333">
        <f t="shared" si="12"/>
        <v>0</v>
      </c>
      <c r="O155" s="1333">
        <f t="shared" si="13"/>
        <v>7197750</v>
      </c>
      <c r="P155" s="1333">
        <f t="shared" si="14"/>
        <v>7557637.5</v>
      </c>
      <c r="Q155" s="1333">
        <f t="shared" si="15"/>
        <v>7935519.375</v>
      </c>
    </row>
    <row r="156" spans="1:17" s="13" customFormat="1">
      <c r="A156" s="356" t="s">
        <v>449</v>
      </c>
      <c r="B156" s="430" t="str">
        <f>VLOOKUP(A156,Catálogo!$B$3:$C$288,2,0)</f>
        <v>Repuestos y accesorios</v>
      </c>
      <c r="C156" s="370">
        <f>SUM(D156:G156)</f>
        <v>187971253</v>
      </c>
      <c r="D156" s="370">
        <f>[1]GASTOS!F153</f>
        <v>2800000</v>
      </c>
      <c r="E156" s="370">
        <f>[1]GASTOS!T153</f>
        <v>31471253</v>
      </c>
      <c r="F156" s="370">
        <f>[1]GASTOS!BD153</f>
        <v>153700000</v>
      </c>
      <c r="G156" s="370">
        <f>[1]GASTOS!CF153</f>
        <v>0</v>
      </c>
      <c r="L156" s="1333"/>
      <c r="M156" s="1333"/>
      <c r="N156" s="1333">
        <f t="shared" si="12"/>
        <v>0</v>
      </c>
      <c r="O156" s="1333">
        <f t="shared" si="13"/>
        <v>197369815.65000001</v>
      </c>
      <c r="P156" s="1333">
        <f t="shared" si="14"/>
        <v>207238306.4325</v>
      </c>
      <c r="Q156" s="1333">
        <f t="shared" si="15"/>
        <v>217600221.754125</v>
      </c>
    </row>
    <row r="157" spans="1:17" s="13" customFormat="1">
      <c r="A157" s="356"/>
      <c r="B157" s="394"/>
      <c r="C157" s="370"/>
      <c r="D157" s="370"/>
      <c r="E157" s="370"/>
      <c r="F157" s="370"/>
      <c r="G157" s="370"/>
      <c r="L157" s="1333"/>
      <c r="M157" s="1333"/>
      <c r="N157" s="1333">
        <f t="shared" si="12"/>
        <v>0</v>
      </c>
      <c r="O157" s="1333"/>
      <c r="P157" s="1333"/>
      <c r="Q157" s="1333"/>
    </row>
    <row r="158" spans="1:17" s="13" customFormat="1">
      <c r="A158" s="359" t="s">
        <v>451</v>
      </c>
      <c r="B158" s="396" t="str">
        <f>VLOOKUP(A158,Catálogo!$B$3:$C$288,2,0)</f>
        <v>ÚTILES, MATERIALES Y SUMINISTROS DIVERSOS</v>
      </c>
      <c r="C158" s="371">
        <f>SUM(C159:C166)</f>
        <v>77884559</v>
      </c>
      <c r="D158" s="371">
        <f>SUM(D159:D166)</f>
        <v>21656650</v>
      </c>
      <c r="E158" s="371">
        <f>SUM(E159:E166)</f>
        <v>49662909</v>
      </c>
      <c r="F158" s="371">
        <f>SUM(F159:F166)</f>
        <v>6565000</v>
      </c>
      <c r="G158" s="371">
        <f>SUM(G159:G166)</f>
        <v>0</v>
      </c>
      <c r="L158" s="1333"/>
      <c r="M158" s="1333"/>
      <c r="N158" s="1333">
        <f t="shared" si="12"/>
        <v>0</v>
      </c>
      <c r="O158" s="1333"/>
      <c r="P158" s="1333"/>
      <c r="Q158" s="1333"/>
    </row>
    <row r="159" spans="1:17" s="13" customFormat="1">
      <c r="A159" s="356" t="s">
        <v>453</v>
      </c>
      <c r="B159" s="430" t="str">
        <f>VLOOKUP(A159,Catálogo!$B$3:$C$288,2,0)</f>
        <v>Útiles y materiales de oficina y cómputo</v>
      </c>
      <c r="C159" s="370">
        <f t="shared" ref="C159:C166" si="17">SUM(D159:G159)</f>
        <v>6513134</v>
      </c>
      <c r="D159" s="370">
        <f>[1]GASTOS!F156</f>
        <v>2997400</v>
      </c>
      <c r="E159" s="370">
        <f>[1]GASTOS!T156</f>
        <v>2365734</v>
      </c>
      <c r="F159" s="370">
        <f>[1]GASTOS!BD156</f>
        <v>1150000</v>
      </c>
      <c r="G159" s="370">
        <f>[1]GASTOS!CF156</f>
        <v>0</v>
      </c>
      <c r="L159" s="1333"/>
      <c r="M159" s="1333"/>
      <c r="N159" s="1333">
        <f t="shared" si="12"/>
        <v>0</v>
      </c>
      <c r="O159" s="1333">
        <f t="shared" si="13"/>
        <v>6838790.7000000002</v>
      </c>
      <c r="P159" s="1333">
        <f t="shared" si="14"/>
        <v>7180730.2350000003</v>
      </c>
      <c r="Q159" s="1333">
        <f t="shared" si="15"/>
        <v>7539766.7467500009</v>
      </c>
    </row>
    <row r="160" spans="1:17" s="13" customFormat="1" ht="24.75">
      <c r="A160" s="356" t="s">
        <v>1085</v>
      </c>
      <c r="B160" s="430" t="str">
        <f>VLOOKUP(A160,Catálogo!$B$3:$C$288,2,0)</f>
        <v>Útiles y materiales médico, hospitalario y de investigación</v>
      </c>
      <c r="C160" s="370">
        <f t="shared" si="17"/>
        <v>250000</v>
      </c>
      <c r="D160" s="370">
        <f>[1]GASTOS!F157</f>
        <v>0</v>
      </c>
      <c r="E160" s="370">
        <f>[1]GASTOS!T157</f>
        <v>250000</v>
      </c>
      <c r="F160" s="370">
        <f>[1]GASTOS!BD157</f>
        <v>0</v>
      </c>
      <c r="G160" s="370">
        <f>[1]GASTOS!CF157</f>
        <v>0</v>
      </c>
      <c r="L160" s="1333"/>
      <c r="M160" s="1333"/>
      <c r="N160" s="1333">
        <f t="shared" si="12"/>
        <v>0</v>
      </c>
      <c r="O160" s="1333">
        <f t="shared" si="13"/>
        <v>262500</v>
      </c>
      <c r="P160" s="1333">
        <f t="shared" si="14"/>
        <v>275625</v>
      </c>
      <c r="Q160" s="1333">
        <f t="shared" si="15"/>
        <v>289406.25</v>
      </c>
    </row>
    <row r="161" spans="1:17" s="13" customFormat="1">
      <c r="A161" s="356" t="s">
        <v>455</v>
      </c>
      <c r="B161" s="430" t="str">
        <f>VLOOKUP(A161,Catálogo!$B$3:$C$288,2,0)</f>
        <v>Productos de papel, cartón e impresos</v>
      </c>
      <c r="C161" s="370">
        <f t="shared" si="17"/>
        <v>17999925</v>
      </c>
      <c r="D161" s="370">
        <f>[1]GASTOS!F158</f>
        <v>10150250</v>
      </c>
      <c r="E161" s="370">
        <f>[1]GASTOS!T158</f>
        <v>6349675</v>
      </c>
      <c r="F161" s="370">
        <f>[1]GASTOS!BD158</f>
        <v>1500000</v>
      </c>
      <c r="G161" s="370">
        <f>[1]GASTOS!CF158</f>
        <v>0</v>
      </c>
      <c r="L161" s="1333"/>
      <c r="M161" s="1333"/>
      <c r="N161" s="1333">
        <f t="shared" si="12"/>
        <v>0</v>
      </c>
      <c r="O161" s="1333">
        <f t="shared" si="13"/>
        <v>18899921.25</v>
      </c>
      <c r="P161" s="1333">
        <f t="shared" si="14"/>
        <v>19844917.3125</v>
      </c>
      <c r="Q161" s="1333">
        <f t="shared" si="15"/>
        <v>20837163.178125001</v>
      </c>
    </row>
    <row r="162" spans="1:17" s="13" customFormat="1">
      <c r="A162" s="356" t="s">
        <v>457</v>
      </c>
      <c r="B162" s="430" t="str">
        <f>VLOOKUP(A162,Catálogo!$B$3:$C$288,2,0)</f>
        <v>Textiles y vestuario</v>
      </c>
      <c r="C162" s="370">
        <f t="shared" si="17"/>
        <v>24561000</v>
      </c>
      <c r="D162" s="370">
        <f>[1]GASTOS!F159</f>
        <v>3828000</v>
      </c>
      <c r="E162" s="370">
        <f>[1]GASTOS!T159</f>
        <v>19123000</v>
      </c>
      <c r="F162" s="370">
        <f>[1]GASTOS!BD159</f>
        <v>1610000</v>
      </c>
      <c r="G162" s="370">
        <f>[1]GASTOS!CF159</f>
        <v>0</v>
      </c>
      <c r="L162" s="1333"/>
      <c r="M162" s="1333"/>
      <c r="N162" s="1333">
        <f t="shared" si="12"/>
        <v>0</v>
      </c>
      <c r="O162" s="1333">
        <f t="shared" si="13"/>
        <v>25789050</v>
      </c>
      <c r="P162" s="1333">
        <f t="shared" si="14"/>
        <v>27078502.5</v>
      </c>
      <c r="Q162" s="1333">
        <f t="shared" si="15"/>
        <v>28432427.625</v>
      </c>
    </row>
    <row r="163" spans="1:17" s="13" customFormat="1">
      <c r="A163" s="356" t="s">
        <v>459</v>
      </c>
      <c r="B163" s="430" t="str">
        <f>VLOOKUP(A163,Catálogo!$B$3:$C$288,2,0)</f>
        <v>Útiles y materiales de limpieza</v>
      </c>
      <c r="C163" s="370">
        <f t="shared" si="17"/>
        <v>10043000</v>
      </c>
      <c r="D163" s="370">
        <f>[1]GASTOS!F160</f>
        <v>3298000</v>
      </c>
      <c r="E163" s="370">
        <f>[1]GASTOS!T160</f>
        <v>6745000</v>
      </c>
      <c r="F163" s="370">
        <f>[1]GASTOS!BD160</f>
        <v>0</v>
      </c>
      <c r="G163" s="370">
        <f>[1]GASTOS!CF160</f>
        <v>0</v>
      </c>
      <c r="L163" s="1333"/>
      <c r="M163" s="1333"/>
      <c r="N163" s="1333">
        <f t="shared" si="12"/>
        <v>0</v>
      </c>
      <c r="O163" s="1333">
        <f t="shared" si="13"/>
        <v>10545150</v>
      </c>
      <c r="P163" s="1333">
        <f t="shared" si="14"/>
        <v>11072407.5</v>
      </c>
      <c r="Q163" s="1333">
        <f t="shared" si="15"/>
        <v>11626027.875</v>
      </c>
    </row>
    <row r="164" spans="1:17" s="13" customFormat="1">
      <c r="A164" s="356" t="s">
        <v>461</v>
      </c>
      <c r="B164" s="430" t="str">
        <f>VLOOKUP(A164,Catálogo!$B$3:$C$288,2,0)</f>
        <v>Útiles y materiales de resguardo y seguridad</v>
      </c>
      <c r="C164" s="370">
        <f t="shared" si="17"/>
        <v>11619500</v>
      </c>
      <c r="D164" s="370">
        <f>[1]GASTOS!F161</f>
        <v>630000</v>
      </c>
      <c r="E164" s="370">
        <f>[1]GASTOS!T161</f>
        <v>8984500</v>
      </c>
      <c r="F164" s="370">
        <f>[1]GASTOS!BD161</f>
        <v>2005000</v>
      </c>
      <c r="G164" s="370">
        <f>[1]GASTOS!CF161</f>
        <v>0</v>
      </c>
      <c r="L164" s="1333"/>
      <c r="M164" s="1333"/>
      <c r="N164" s="1333">
        <f t="shared" si="12"/>
        <v>0</v>
      </c>
      <c r="O164" s="1333">
        <f t="shared" si="13"/>
        <v>12200475</v>
      </c>
      <c r="P164" s="1333">
        <f t="shared" si="14"/>
        <v>12810498.75</v>
      </c>
      <c r="Q164" s="1333">
        <f t="shared" si="15"/>
        <v>13451023.6875</v>
      </c>
    </row>
    <row r="165" spans="1:17" s="13" customFormat="1">
      <c r="A165" s="356" t="s">
        <v>18</v>
      </c>
      <c r="B165" s="430" t="str">
        <f>VLOOKUP(A165,Catálogo!$B$3:$C$288,2,0)</f>
        <v>Útiles y materiales de cocina y comedor</v>
      </c>
      <c r="C165" s="370">
        <f t="shared" si="17"/>
        <v>2550000</v>
      </c>
      <c r="D165" s="370">
        <f>[1]GASTOS!F162</f>
        <v>200000</v>
      </c>
      <c r="E165" s="370">
        <f>[1]GASTOS!T162</f>
        <v>2350000</v>
      </c>
      <c r="F165" s="370">
        <f>[1]GASTOS!BD162</f>
        <v>0</v>
      </c>
      <c r="G165" s="370">
        <f>[1]GASTOS!CF162</f>
        <v>0</v>
      </c>
      <c r="L165" s="1333"/>
      <c r="M165" s="1333"/>
      <c r="N165" s="1333">
        <f t="shared" si="12"/>
        <v>0</v>
      </c>
      <c r="O165" s="1333">
        <f t="shared" si="13"/>
        <v>2677500</v>
      </c>
      <c r="P165" s="1333">
        <f t="shared" si="14"/>
        <v>2811375</v>
      </c>
      <c r="Q165" s="1333">
        <f t="shared" si="15"/>
        <v>2951943.75</v>
      </c>
    </row>
    <row r="166" spans="1:17" s="13" customFormat="1">
      <c r="A166" s="356" t="s">
        <v>463</v>
      </c>
      <c r="B166" s="430" t="str">
        <f>VLOOKUP(A166,Catálogo!$B$3:$C$288,2,0)</f>
        <v>Otros útiles, materiales y suministros</v>
      </c>
      <c r="C166" s="370">
        <f t="shared" si="17"/>
        <v>4348000</v>
      </c>
      <c r="D166" s="370">
        <f>[1]GASTOS!F163</f>
        <v>553000</v>
      </c>
      <c r="E166" s="370">
        <f>[1]GASTOS!T163</f>
        <v>3495000</v>
      </c>
      <c r="F166" s="370">
        <f>[1]GASTOS!BD163</f>
        <v>300000</v>
      </c>
      <c r="G166" s="370">
        <f>[1]GASTOS!CF163</f>
        <v>0</v>
      </c>
      <c r="L166" s="1333"/>
      <c r="M166" s="1333"/>
      <c r="N166" s="1333">
        <f t="shared" si="12"/>
        <v>0</v>
      </c>
      <c r="O166" s="1333">
        <f t="shared" si="13"/>
        <v>4565400</v>
      </c>
      <c r="P166" s="1333">
        <f t="shared" si="14"/>
        <v>4793670</v>
      </c>
      <c r="Q166" s="1333">
        <f t="shared" si="15"/>
        <v>5033353.5</v>
      </c>
    </row>
    <row r="167" spans="1:17" s="13" customFormat="1" ht="17.25">
      <c r="A167" s="359"/>
      <c r="B167" s="393"/>
      <c r="C167" s="370"/>
      <c r="D167" s="372"/>
      <c r="E167" s="372"/>
      <c r="F167" s="372"/>
      <c r="G167" s="372"/>
      <c r="L167" s="1333"/>
      <c r="M167" s="1333"/>
      <c r="N167" s="1333">
        <f t="shared" si="12"/>
        <v>0</v>
      </c>
      <c r="O167" s="1333"/>
      <c r="P167" s="1333"/>
      <c r="Q167" s="1333"/>
    </row>
    <row r="168" spans="1:17" s="13" customFormat="1" ht="17.25">
      <c r="A168" s="359"/>
      <c r="B168" s="393"/>
      <c r="C168" s="370"/>
      <c r="D168" s="372"/>
      <c r="E168" s="372"/>
      <c r="F168" s="372"/>
      <c r="G168" s="372"/>
      <c r="L168" s="1333"/>
      <c r="M168" s="1333"/>
      <c r="N168" s="1333">
        <f t="shared" si="12"/>
        <v>0</v>
      </c>
      <c r="O168" s="1333"/>
      <c r="P168" s="1333"/>
      <c r="Q168" s="1333"/>
    </row>
    <row r="169" spans="1:17" s="13" customFormat="1" ht="17.25">
      <c r="A169" s="359"/>
      <c r="B169" s="393"/>
      <c r="C169" s="370"/>
      <c r="D169" s="372"/>
      <c r="E169" s="372"/>
      <c r="F169" s="372"/>
      <c r="G169" s="372"/>
      <c r="L169" s="1333"/>
      <c r="M169" s="1333"/>
      <c r="N169" s="1333">
        <f t="shared" si="12"/>
        <v>0</v>
      </c>
      <c r="O169" s="1333"/>
      <c r="P169" s="1333"/>
      <c r="Q169" s="1333"/>
    </row>
    <row r="170" spans="1:17" s="13" customFormat="1" ht="18.75">
      <c r="A170" s="353">
        <v>3</v>
      </c>
      <c r="B170" s="687" t="s">
        <v>465</v>
      </c>
      <c r="C170" s="369">
        <f>C172+C178</f>
        <v>194398079.40000001</v>
      </c>
      <c r="D170" s="369">
        <f>D172+D178</f>
        <v>4239000</v>
      </c>
      <c r="E170" s="369">
        <f>E172+E178</f>
        <v>190109079.40000001</v>
      </c>
      <c r="F170" s="369">
        <f>F172+F178</f>
        <v>50000</v>
      </c>
      <c r="G170" s="369">
        <f>G172+G178</f>
        <v>0</v>
      </c>
      <c r="H170" s="784">
        <f>[1]GASTOS!$D$166</f>
        <v>194398079.40000001</v>
      </c>
      <c r="I170" s="784">
        <f>H170-C170</f>
        <v>0</v>
      </c>
      <c r="L170" s="1333"/>
      <c r="M170" s="1333"/>
      <c r="N170" s="1333">
        <f t="shared" si="12"/>
        <v>0</v>
      </c>
      <c r="O170" s="1333"/>
      <c r="P170" s="1333"/>
      <c r="Q170" s="1333"/>
    </row>
    <row r="171" spans="1:17" s="13" customFormat="1" ht="17.25">
      <c r="A171" s="356"/>
      <c r="B171" s="399"/>
      <c r="C171" s="370"/>
      <c r="D171" s="372"/>
      <c r="E171" s="372"/>
      <c r="F171" s="372"/>
      <c r="G171" s="372"/>
      <c r="L171" s="1333"/>
      <c r="M171" s="1333"/>
      <c r="N171" s="1333">
        <f t="shared" si="12"/>
        <v>0</v>
      </c>
      <c r="O171" s="1333"/>
      <c r="P171" s="1333"/>
      <c r="Q171" s="1333"/>
    </row>
    <row r="172" spans="1:17" s="13" customFormat="1">
      <c r="A172" s="355" t="s">
        <v>466</v>
      </c>
      <c r="B172" s="396" t="str">
        <f>VLOOKUP(A172,Catálogo!$B$3:$C$288,2,0)</f>
        <v>INTERESES SOBRE PRÉSTAMOS</v>
      </c>
      <c r="C172" s="371">
        <f>SUM(C173:C174)</f>
        <v>192430079.40000001</v>
      </c>
      <c r="D172" s="371">
        <f>SUM(D173:D174)</f>
        <v>3654000</v>
      </c>
      <c r="E172" s="371">
        <f>SUM(E173:E174)</f>
        <v>188726079.40000001</v>
      </c>
      <c r="F172" s="371">
        <f>SUM(F173:F174)</f>
        <v>50000</v>
      </c>
      <c r="G172" s="371">
        <f>SUM(G173:G174)</f>
        <v>0</v>
      </c>
      <c r="L172" s="1333"/>
      <c r="M172" s="1333"/>
      <c r="N172" s="1333">
        <f t="shared" si="12"/>
        <v>0</v>
      </c>
      <c r="O172" s="1333"/>
      <c r="P172" s="1333"/>
      <c r="Q172" s="1333"/>
    </row>
    <row r="173" spans="1:17" s="135" customFormat="1" ht="24.75">
      <c r="A173" s="360" t="s">
        <v>468</v>
      </c>
      <c r="B173" s="430" t="str">
        <f>VLOOKUP(A173,Catálogo!$B$3:$C$288,2,0)</f>
        <v>Intereses sobre préstamos de Instituciones Descentralizadas  no Empresariales</v>
      </c>
      <c r="C173" s="370">
        <f>SUM(D173:G173)</f>
        <v>119495079.40000001</v>
      </c>
      <c r="D173" s="370">
        <f>[1]GASTOS!F169</f>
        <v>214000</v>
      </c>
      <c r="E173" s="370">
        <f>[1]GASTOS!T169</f>
        <v>119281079.40000001</v>
      </c>
      <c r="F173" s="370">
        <f>[1]GASTOS!BD169</f>
        <v>0</v>
      </c>
      <c r="G173" s="370">
        <f>[1]GASTOS!CF169</f>
        <v>0</v>
      </c>
      <c r="L173" s="1333"/>
      <c r="M173" s="1333"/>
      <c r="N173" s="1333">
        <f t="shared" si="12"/>
        <v>0</v>
      </c>
      <c r="O173" s="1333">
        <f t="shared" si="13"/>
        <v>125469833.37</v>
      </c>
      <c r="P173" s="1333">
        <f t="shared" si="14"/>
        <v>131743325.03850001</v>
      </c>
      <c r="Q173" s="1333">
        <f t="shared" si="15"/>
        <v>138330491.290425</v>
      </c>
    </row>
    <row r="174" spans="1:17" s="135" customFormat="1" ht="24.75">
      <c r="A174" s="685" t="s">
        <v>469</v>
      </c>
      <c r="B174" s="686" t="str">
        <f>VLOOKUP(A174,Catálogo!$B$3:$C$288,2,0)</f>
        <v xml:space="preserve">Intereses sobre préstamos de Instituciones Públicas Financieras   </v>
      </c>
      <c r="C174" s="370">
        <f>SUM(D174:G174)</f>
        <v>72935000</v>
      </c>
      <c r="D174" s="370">
        <f>[1]GASTOS!F176</f>
        <v>3440000</v>
      </c>
      <c r="E174" s="370">
        <f>[1]GASTOS!T176</f>
        <v>69445000</v>
      </c>
      <c r="F174" s="370">
        <f>[1]GASTOS!BD176</f>
        <v>50000</v>
      </c>
      <c r="G174" s="370">
        <f>[1]GASTOS!CF176</f>
        <v>0</v>
      </c>
      <c r="L174" s="1333"/>
      <c r="M174" s="1333"/>
      <c r="N174" s="1333">
        <f t="shared" si="12"/>
        <v>0</v>
      </c>
      <c r="O174" s="1333">
        <f t="shared" si="13"/>
        <v>76581750</v>
      </c>
      <c r="P174" s="1333">
        <f t="shared" si="14"/>
        <v>80410837.5</v>
      </c>
      <c r="Q174" s="1333">
        <f t="shared" si="15"/>
        <v>84431379.375</v>
      </c>
    </row>
    <row r="175" spans="1:17" s="6" customFormat="1">
      <c r="A175" s="361"/>
      <c r="B175" s="400"/>
      <c r="C175" s="370"/>
      <c r="D175" s="370"/>
      <c r="E175" s="370"/>
      <c r="F175" s="370"/>
      <c r="G175" s="370"/>
      <c r="L175" s="1333"/>
      <c r="M175" s="1333"/>
      <c r="N175" s="1333">
        <f t="shared" si="12"/>
        <v>0</v>
      </c>
      <c r="O175" s="1333"/>
      <c r="P175" s="1333"/>
      <c r="Q175" s="1333"/>
    </row>
    <row r="176" spans="1:17" s="6" customFormat="1" hidden="1">
      <c r="A176" s="361"/>
      <c r="B176" s="400"/>
      <c r="C176" s="370"/>
      <c r="D176" s="370"/>
      <c r="E176" s="370"/>
      <c r="F176" s="370"/>
      <c r="G176" s="370"/>
      <c r="L176" s="1333"/>
      <c r="M176" s="1333"/>
      <c r="N176" s="1333">
        <f t="shared" si="12"/>
        <v>0</v>
      </c>
      <c r="O176" s="1333"/>
      <c r="P176" s="1333"/>
      <c r="Q176" s="1333"/>
    </row>
    <row r="177" spans="1:17" s="6" customFormat="1">
      <c r="A177" s="361"/>
      <c r="B177" s="400"/>
      <c r="C177" s="370"/>
      <c r="D177" s="370"/>
      <c r="E177" s="370"/>
      <c r="F177" s="370"/>
      <c r="G177" s="370"/>
      <c r="L177" s="1333"/>
      <c r="M177" s="1333"/>
      <c r="N177" s="1333">
        <f t="shared" si="12"/>
        <v>0</v>
      </c>
      <c r="O177" s="1333"/>
      <c r="P177" s="1333"/>
      <c r="Q177" s="1333"/>
    </row>
    <row r="178" spans="1:17" s="13" customFormat="1">
      <c r="A178" s="355" t="s">
        <v>1161</v>
      </c>
      <c r="B178" s="396" t="str">
        <f>VLOOKUP(A178,Catálogo!$B$3:$C$288,2,0)</f>
        <v>COMISIONES Y OTROS GASTOS</v>
      </c>
      <c r="C178" s="371">
        <f>SUM(C179:C179)</f>
        <v>1968000</v>
      </c>
      <c r="D178" s="371">
        <f>SUM(D179:D179)</f>
        <v>585000</v>
      </c>
      <c r="E178" s="371">
        <f>SUM(E179:E179)</f>
        <v>1383000</v>
      </c>
      <c r="F178" s="371">
        <f>SUM(F179:F179)</f>
        <v>0</v>
      </c>
      <c r="G178" s="371">
        <f>SUM(G179:G179)</f>
        <v>0</v>
      </c>
      <c r="L178" s="1333"/>
      <c r="M178" s="1333"/>
      <c r="N178" s="1333">
        <f t="shared" si="12"/>
        <v>0</v>
      </c>
      <c r="O178" s="1333"/>
      <c r="P178" s="1333"/>
      <c r="Q178" s="1333"/>
    </row>
    <row r="179" spans="1:17" s="135" customFormat="1" ht="24.75">
      <c r="A179" s="360" t="s">
        <v>645</v>
      </c>
      <c r="B179" s="430" t="str">
        <f>VLOOKUP(A179,Catálogo!$B$3:$C$288,2,0)</f>
        <v>Comisiones y otros gastos sobre préstamos internos</v>
      </c>
      <c r="C179" s="370">
        <f>SUM(D179:G179)</f>
        <v>1968000</v>
      </c>
      <c r="D179" s="370">
        <f>[1]GASTOS!F187</f>
        <v>585000</v>
      </c>
      <c r="E179" s="370">
        <f>[1]GASTOS!T187</f>
        <v>1383000</v>
      </c>
      <c r="F179" s="370">
        <f>[1]GASTOS!BD187</f>
        <v>0</v>
      </c>
      <c r="G179" s="370">
        <f>[1]GASTOS!CF187</f>
        <v>0</v>
      </c>
      <c r="L179" s="1333"/>
      <c r="M179" s="1333"/>
      <c r="N179" s="1333">
        <f t="shared" si="12"/>
        <v>0</v>
      </c>
      <c r="O179" s="1333">
        <f t="shared" si="13"/>
        <v>2066400</v>
      </c>
      <c r="P179" s="1333">
        <f t="shared" si="14"/>
        <v>2169720</v>
      </c>
      <c r="Q179" s="1333">
        <f t="shared" si="15"/>
        <v>2278206</v>
      </c>
    </row>
    <row r="180" spans="1:17" s="6" customFormat="1">
      <c r="A180" s="361"/>
      <c r="B180" s="400"/>
      <c r="C180" s="370"/>
      <c r="D180" s="370"/>
      <c r="E180" s="370"/>
      <c r="F180" s="370"/>
      <c r="G180" s="370"/>
      <c r="L180" s="1333"/>
      <c r="M180" s="1333"/>
      <c r="N180" s="1333">
        <f t="shared" si="12"/>
        <v>0</v>
      </c>
      <c r="O180" s="1333"/>
      <c r="P180" s="1333"/>
      <c r="Q180" s="1333"/>
    </row>
    <row r="181" spans="1:17" s="6" customFormat="1">
      <c r="A181" s="361"/>
      <c r="B181" s="400"/>
      <c r="C181" s="370"/>
      <c r="D181" s="370"/>
      <c r="E181" s="370"/>
      <c r="F181" s="370"/>
      <c r="G181" s="370"/>
      <c r="L181" s="1333"/>
      <c r="M181" s="1333"/>
      <c r="N181" s="1333">
        <f t="shared" si="12"/>
        <v>0</v>
      </c>
      <c r="O181" s="1333"/>
      <c r="P181" s="1333"/>
      <c r="Q181" s="1333"/>
    </row>
    <row r="182" spans="1:17" s="6" customFormat="1">
      <c r="A182" s="361"/>
      <c r="B182" s="400"/>
      <c r="C182" s="370"/>
      <c r="D182" s="370"/>
      <c r="E182" s="370"/>
      <c r="F182" s="370"/>
      <c r="G182" s="370"/>
      <c r="L182" s="1333"/>
      <c r="M182" s="1333"/>
      <c r="N182" s="1333">
        <f t="shared" si="12"/>
        <v>0</v>
      </c>
      <c r="O182" s="1333"/>
      <c r="P182" s="1333"/>
      <c r="Q182" s="1333"/>
    </row>
    <row r="183" spans="1:17" s="13" customFormat="1" ht="18.75">
      <c r="A183" s="353">
        <v>5</v>
      </c>
      <c r="B183" s="688" t="s">
        <v>284</v>
      </c>
      <c r="C183" s="369">
        <f>C185+C195+C205+C210</f>
        <v>1099249712</v>
      </c>
      <c r="D183" s="369">
        <f>D185+D195+D205+D210</f>
        <v>73601895</v>
      </c>
      <c r="E183" s="369">
        <f>E185+E195+E205+E210</f>
        <v>36449817</v>
      </c>
      <c r="F183" s="369">
        <f>F185+F195+F205+F210</f>
        <v>989198000</v>
      </c>
      <c r="G183" s="369">
        <f>G185+G195+G205+G210</f>
        <v>0</v>
      </c>
      <c r="H183" s="784">
        <f>[1]GASTOS!$D$190</f>
        <v>1099249712</v>
      </c>
      <c r="I183" s="784">
        <f>H183-C183</f>
        <v>0</v>
      </c>
      <c r="L183" s="1333"/>
      <c r="M183" s="1333"/>
      <c r="N183" s="1333">
        <f t="shared" si="12"/>
        <v>0</v>
      </c>
      <c r="O183" s="1333"/>
      <c r="P183" s="1333"/>
      <c r="Q183" s="1333"/>
    </row>
    <row r="184" spans="1:17" s="6" customFormat="1">
      <c r="A184" s="362"/>
      <c r="B184" s="401"/>
      <c r="C184" s="370"/>
      <c r="D184" s="370"/>
      <c r="E184" s="370"/>
      <c r="F184" s="370"/>
      <c r="G184" s="370"/>
      <c r="L184" s="1333"/>
      <c r="M184" s="1333"/>
      <c r="N184" s="1333">
        <f t="shared" si="12"/>
        <v>0</v>
      </c>
      <c r="O184" s="1333"/>
      <c r="P184" s="1333"/>
      <c r="Q184" s="1333"/>
    </row>
    <row r="185" spans="1:17" s="6" customFormat="1">
      <c r="A185" s="359" t="s">
        <v>470</v>
      </c>
      <c r="B185" s="396" t="str">
        <f>VLOOKUP(A185,Catálogo!$B$3:$C$288,2,0)</f>
        <v>MAQUINARIA, EQUIPO Y MOBILIARIO</v>
      </c>
      <c r="C185" s="371">
        <f>SUM(C186:C193)</f>
        <v>103919895</v>
      </c>
      <c r="D185" s="371">
        <f>SUM(D186:D193)</f>
        <v>67451895</v>
      </c>
      <c r="E185" s="371">
        <f>SUM(E186:E193)</f>
        <v>30670000</v>
      </c>
      <c r="F185" s="371">
        <f>SUM(F186:F193)</f>
        <v>5798000</v>
      </c>
      <c r="G185" s="371">
        <f>SUM(G186:G193)</f>
        <v>0</v>
      </c>
      <c r="L185" s="1333"/>
      <c r="M185" s="1333"/>
      <c r="N185" s="1333">
        <f t="shared" si="12"/>
        <v>0</v>
      </c>
      <c r="O185" s="1333"/>
      <c r="P185" s="1333"/>
      <c r="Q185" s="1333"/>
    </row>
    <row r="186" spans="1:17" s="6" customFormat="1">
      <c r="A186" s="356" t="s">
        <v>472</v>
      </c>
      <c r="B186" s="430" t="str">
        <f>VLOOKUP(A186,Catálogo!$B$3:$C$288,2,0)</f>
        <v>Maquinaria y equipo para la producción</v>
      </c>
      <c r="C186" s="370">
        <f t="shared" ref="C186:C193" si="18">SUM(D186:G186)</f>
        <v>4980000</v>
      </c>
      <c r="D186" s="370">
        <f>[1]GASTOS!F193</f>
        <v>0</v>
      </c>
      <c r="E186" s="370">
        <f>[1]GASTOS!T193</f>
        <v>2980000</v>
      </c>
      <c r="F186" s="370">
        <f>[1]GASTOS!BD193</f>
        <v>2000000</v>
      </c>
      <c r="G186" s="370">
        <f>[1]GASTOS!CF193</f>
        <v>0</v>
      </c>
      <c r="L186" s="1333"/>
      <c r="M186" s="1333"/>
      <c r="N186" s="1333">
        <f t="shared" si="12"/>
        <v>0</v>
      </c>
      <c r="O186" s="1333">
        <f t="shared" si="13"/>
        <v>5229000</v>
      </c>
      <c r="P186" s="1333">
        <f t="shared" si="14"/>
        <v>5490450</v>
      </c>
      <c r="Q186" s="1333">
        <f t="shared" si="15"/>
        <v>5764972.5</v>
      </c>
    </row>
    <row r="187" spans="1:17" s="6" customFormat="1">
      <c r="A187" s="356" t="s">
        <v>474</v>
      </c>
      <c r="B187" s="430" t="str">
        <f>VLOOKUP(A187,Catálogo!$B$3:$C$288,2,0)</f>
        <v>Equipo de transporte</v>
      </c>
      <c r="C187" s="370">
        <f t="shared" si="18"/>
        <v>21600000</v>
      </c>
      <c r="D187" s="370">
        <f>[1]GASTOS!F194</f>
        <v>21600000</v>
      </c>
      <c r="E187" s="370">
        <f>[1]GASTOS!T194</f>
        <v>0</v>
      </c>
      <c r="F187" s="370">
        <f>[1]GASTOS!BD194</f>
        <v>0</v>
      </c>
      <c r="G187" s="370">
        <f>[1]GASTOS!CF194</f>
        <v>0</v>
      </c>
      <c r="L187" s="1333"/>
      <c r="M187" s="1333"/>
      <c r="N187" s="1333">
        <f t="shared" si="12"/>
        <v>0</v>
      </c>
      <c r="O187" s="1333">
        <f t="shared" si="13"/>
        <v>22680000</v>
      </c>
      <c r="P187" s="1333">
        <f t="shared" si="14"/>
        <v>23814000</v>
      </c>
      <c r="Q187" s="1333">
        <f t="shared" si="15"/>
        <v>25004700</v>
      </c>
    </row>
    <row r="188" spans="1:17" s="6" customFormat="1">
      <c r="A188" s="356" t="s">
        <v>476</v>
      </c>
      <c r="B188" s="430" t="str">
        <f>VLOOKUP(A188,Catálogo!$B$3:$C$288,2,0)</f>
        <v>Equipo de comunicación</v>
      </c>
      <c r="C188" s="370">
        <f t="shared" si="18"/>
        <v>933610</v>
      </c>
      <c r="D188" s="370">
        <f>[1]GASTOS!F195</f>
        <v>293610</v>
      </c>
      <c r="E188" s="370">
        <f>[1]GASTOS!T195</f>
        <v>540000</v>
      </c>
      <c r="F188" s="370">
        <f>[1]GASTOS!BD195</f>
        <v>100000</v>
      </c>
      <c r="G188" s="370">
        <f>[1]GASTOS!CF195</f>
        <v>0</v>
      </c>
      <c r="L188" s="1333"/>
      <c r="M188" s="1333"/>
      <c r="N188" s="1333">
        <f t="shared" si="12"/>
        <v>0</v>
      </c>
      <c r="O188" s="1333">
        <f t="shared" si="13"/>
        <v>980290.5</v>
      </c>
      <c r="P188" s="1333">
        <f t="shared" si="14"/>
        <v>1029305.025</v>
      </c>
      <c r="Q188" s="1333">
        <f t="shared" si="15"/>
        <v>1080770.2762500001</v>
      </c>
    </row>
    <row r="189" spans="1:17" s="6" customFormat="1">
      <c r="A189" s="356" t="s">
        <v>478</v>
      </c>
      <c r="B189" s="430" t="str">
        <f>VLOOKUP(A189,Catálogo!$B$3:$C$288,2,0)</f>
        <v>Equipo y mobiliario de oficina</v>
      </c>
      <c r="C189" s="370">
        <f t="shared" si="18"/>
        <v>11545285</v>
      </c>
      <c r="D189" s="370">
        <f>[1]GASTOS!F196</f>
        <v>6790285</v>
      </c>
      <c r="E189" s="370">
        <f>[1]GASTOS!T196</f>
        <v>2255000</v>
      </c>
      <c r="F189" s="370">
        <f>[1]GASTOS!BD196</f>
        <v>2500000</v>
      </c>
      <c r="G189" s="370">
        <f>[1]GASTOS!CF196</f>
        <v>0</v>
      </c>
      <c r="L189" s="1333"/>
      <c r="M189" s="1333"/>
      <c r="N189" s="1333">
        <f t="shared" si="12"/>
        <v>0</v>
      </c>
      <c r="O189" s="1333">
        <f t="shared" si="13"/>
        <v>12122549.25</v>
      </c>
      <c r="P189" s="1333">
        <f t="shared" si="14"/>
        <v>12728676.7125</v>
      </c>
      <c r="Q189" s="1333">
        <f t="shared" si="15"/>
        <v>13365110.548125001</v>
      </c>
    </row>
    <row r="190" spans="1:17" s="6" customFormat="1">
      <c r="A190" s="356" t="s">
        <v>480</v>
      </c>
      <c r="B190" s="430" t="str">
        <f>VLOOKUP(A190,Catálogo!$B$3:$C$288,2,0)</f>
        <v>Equipo y programas de  cómputo</v>
      </c>
      <c r="C190" s="370">
        <f t="shared" si="18"/>
        <v>42106050</v>
      </c>
      <c r="D190" s="370">
        <f>[1]GASTOS!F197</f>
        <v>35908050</v>
      </c>
      <c r="E190" s="370">
        <f>[1]GASTOS!T197</f>
        <v>5000000</v>
      </c>
      <c r="F190" s="370">
        <f>[1]GASTOS!BD197</f>
        <v>1198000</v>
      </c>
      <c r="G190" s="370">
        <f>[1]GASTOS!CF197</f>
        <v>0</v>
      </c>
      <c r="L190" s="1333"/>
      <c r="M190" s="1333"/>
      <c r="N190" s="1333">
        <f t="shared" si="12"/>
        <v>0</v>
      </c>
      <c r="O190" s="1333">
        <f t="shared" si="13"/>
        <v>44211352.5</v>
      </c>
      <c r="P190" s="1333">
        <f t="shared" si="14"/>
        <v>46421920.125</v>
      </c>
      <c r="Q190" s="1333">
        <f t="shared" si="15"/>
        <v>48743016.131250001</v>
      </c>
    </row>
    <row r="191" spans="1:17" s="6" customFormat="1">
      <c r="A191" s="356" t="s">
        <v>854</v>
      </c>
      <c r="B191" s="430" t="str">
        <f>VLOOKUP(A191,Catálogo!$B$3:$C$288,2,0)</f>
        <v>Equipo sanitario, de laboratorio e investigación</v>
      </c>
      <c r="C191" s="370">
        <f>SUM(D191:G191)</f>
        <v>350000</v>
      </c>
      <c r="D191" s="370">
        <f>[1]GASTOS!F198</f>
        <v>350000</v>
      </c>
      <c r="E191" s="370">
        <f>[1]GASTOS!T198</f>
        <v>0</v>
      </c>
      <c r="F191" s="370">
        <f>[1]GASTOS!BD198</f>
        <v>0</v>
      </c>
      <c r="G191" s="370">
        <f>[1]GASTOS!CF198</f>
        <v>0</v>
      </c>
      <c r="L191" s="1333"/>
      <c r="M191" s="1333"/>
      <c r="N191" s="1333">
        <f t="shared" si="12"/>
        <v>0</v>
      </c>
      <c r="O191" s="1333">
        <f t="shared" si="13"/>
        <v>367500</v>
      </c>
      <c r="P191" s="1333">
        <f t="shared" si="14"/>
        <v>385875</v>
      </c>
      <c r="Q191" s="1333">
        <f t="shared" si="15"/>
        <v>405168.75</v>
      </c>
    </row>
    <row r="192" spans="1:17" s="6" customFormat="1" ht="24.75">
      <c r="A192" s="356" t="s">
        <v>482</v>
      </c>
      <c r="B192" s="430" t="str">
        <f>VLOOKUP(A192,Catálogo!$B$3:$C$288,2,0)</f>
        <v>Equipo y mobiliario educacional, deportivo y recreativo</v>
      </c>
      <c r="C192" s="370">
        <f t="shared" si="18"/>
        <v>10800000</v>
      </c>
      <c r="D192" s="370">
        <f>[1]GASTOS!F199</f>
        <v>0</v>
      </c>
      <c r="E192" s="370">
        <f>[1]GASTOS!T199</f>
        <v>10800000</v>
      </c>
      <c r="F192" s="370">
        <f>[1]GASTOS!BD199</f>
        <v>0</v>
      </c>
      <c r="G192" s="370">
        <f>[1]GASTOS!CF199</f>
        <v>0</v>
      </c>
      <c r="L192" s="1333"/>
      <c r="M192" s="1333"/>
      <c r="N192" s="1333">
        <f t="shared" si="12"/>
        <v>0</v>
      </c>
      <c r="O192" s="1333">
        <f t="shared" si="13"/>
        <v>11340000</v>
      </c>
      <c r="P192" s="1333">
        <f t="shared" si="14"/>
        <v>11907000</v>
      </c>
      <c r="Q192" s="1333">
        <f t="shared" si="15"/>
        <v>12502350</v>
      </c>
    </row>
    <row r="193" spans="1:17" s="6" customFormat="1">
      <c r="A193" s="356" t="s">
        <v>484</v>
      </c>
      <c r="B193" s="430" t="str">
        <f>VLOOKUP(A193,Catálogo!$B$3:$C$288,2,0)</f>
        <v>Maquinaria, equipo  y mobiliario diverso</v>
      </c>
      <c r="C193" s="370">
        <f t="shared" si="18"/>
        <v>11604950</v>
      </c>
      <c r="D193" s="370">
        <f>[1]GASTOS!F200</f>
        <v>2509950</v>
      </c>
      <c r="E193" s="370">
        <f>[1]GASTOS!T200</f>
        <v>9095000</v>
      </c>
      <c r="F193" s="370">
        <f>[1]GASTOS!BD200</f>
        <v>0</v>
      </c>
      <c r="G193" s="370">
        <f>[1]GASTOS!CF200</f>
        <v>0</v>
      </c>
      <c r="L193" s="1333"/>
      <c r="M193" s="1333"/>
      <c r="N193" s="1333">
        <f t="shared" si="12"/>
        <v>0</v>
      </c>
      <c r="O193" s="1333">
        <f t="shared" si="13"/>
        <v>12185197.5</v>
      </c>
      <c r="P193" s="1333">
        <f t="shared" si="14"/>
        <v>12794457.375</v>
      </c>
      <c r="Q193" s="1333">
        <f t="shared" si="15"/>
        <v>13434180.24375</v>
      </c>
    </row>
    <row r="194" spans="1:17" s="6" customFormat="1">
      <c r="A194" s="185"/>
      <c r="B194" s="402"/>
      <c r="C194" s="370"/>
      <c r="D194" s="370"/>
      <c r="E194" s="370"/>
      <c r="F194" s="370"/>
      <c r="G194" s="370"/>
      <c r="L194" s="1333"/>
      <c r="M194" s="1333"/>
      <c r="N194" s="1333">
        <f t="shared" si="12"/>
        <v>0</v>
      </c>
      <c r="O194" s="1333"/>
      <c r="P194" s="1333"/>
      <c r="Q194" s="1333"/>
    </row>
    <row r="195" spans="1:17" s="6" customFormat="1">
      <c r="A195" s="359" t="s">
        <v>1087</v>
      </c>
      <c r="B195" s="396" t="str">
        <f>VLOOKUP(A195,Catálogo!$B$3:$C$288,2,0)</f>
        <v>CONSTRUCCIONES, ADICIONES Y MEJORAS</v>
      </c>
      <c r="C195" s="371">
        <f>SUM(C196:C203)</f>
        <v>939179817</v>
      </c>
      <c r="D195" s="371">
        <f>SUM(D196:D203)</f>
        <v>0</v>
      </c>
      <c r="E195" s="371">
        <f>SUM(E196:E203)</f>
        <v>5779817</v>
      </c>
      <c r="F195" s="371">
        <f>SUM(F196:F203)</f>
        <v>933400000</v>
      </c>
      <c r="G195" s="371">
        <f>SUM(G196:G203)</f>
        <v>0</v>
      </c>
      <c r="L195" s="1333"/>
      <c r="M195" s="1333"/>
      <c r="N195" s="1333">
        <f t="shared" si="12"/>
        <v>0</v>
      </c>
      <c r="O195" s="1333"/>
      <c r="P195" s="1333"/>
      <c r="Q195" s="1333"/>
    </row>
    <row r="196" spans="1:17" s="6" customFormat="1">
      <c r="A196" s="356" t="s">
        <v>8</v>
      </c>
      <c r="B196" s="430" t="str">
        <f>VLOOKUP(A196,Catálogo!$B$3:$C$288,2,0)</f>
        <v>Edificios</v>
      </c>
      <c r="C196" s="370">
        <f t="shared" ref="C196:C203" si="19">SUM(D196:G196)</f>
        <v>163379817</v>
      </c>
      <c r="D196" s="370">
        <f>[1]GASTOS!F203</f>
        <v>0</v>
      </c>
      <c r="E196" s="370">
        <f>[1]GASTOS!T203</f>
        <v>3379817</v>
      </c>
      <c r="F196" s="370">
        <f>[1]GASTOS!BD203</f>
        <v>160000000</v>
      </c>
      <c r="G196" s="370">
        <f>[1]GASTOS!CF203</f>
        <v>0</v>
      </c>
      <c r="L196" s="1333"/>
      <c r="M196" s="1333"/>
      <c r="N196" s="1333">
        <f t="shared" si="12"/>
        <v>0</v>
      </c>
      <c r="O196" s="1333">
        <f t="shared" si="13"/>
        <v>171548807.84999999</v>
      </c>
      <c r="P196" s="1333">
        <f t="shared" si="14"/>
        <v>180126248.24250001</v>
      </c>
      <c r="Q196" s="1333">
        <f t="shared" si="15"/>
        <v>189132560.654625</v>
      </c>
    </row>
    <row r="197" spans="1:17" s="6" customFormat="1">
      <c r="A197" s="356" t="s">
        <v>1091</v>
      </c>
      <c r="B197" s="430" t="str">
        <f>VLOOKUP(A197,Catálogo!$B$3:$C$288,2,0)</f>
        <v>Vías de comunicación terrestre</v>
      </c>
      <c r="C197" s="370">
        <f t="shared" si="19"/>
        <v>17400000</v>
      </c>
      <c r="D197" s="370">
        <f>[1]GASTOS!F204</f>
        <v>0</v>
      </c>
      <c r="E197" s="370">
        <f>[1]GASTOS!T204</f>
        <v>2400000</v>
      </c>
      <c r="F197" s="370">
        <f>[1]GASTOS!BD204</f>
        <v>15000000</v>
      </c>
      <c r="G197" s="370">
        <f>[1]GASTOS!CF204</f>
        <v>0</v>
      </c>
      <c r="L197" s="1333"/>
      <c r="M197" s="1333"/>
      <c r="N197" s="1333">
        <f t="shared" si="12"/>
        <v>0</v>
      </c>
      <c r="O197" s="1333">
        <f t="shared" si="13"/>
        <v>18270000</v>
      </c>
      <c r="P197" s="1333">
        <f t="shared" si="14"/>
        <v>19183500</v>
      </c>
      <c r="Q197" s="1333">
        <f t="shared" si="15"/>
        <v>20142675</v>
      </c>
    </row>
    <row r="198" spans="1:17" s="6" customFormat="1" hidden="1">
      <c r="A198" s="356" t="s">
        <v>856</v>
      </c>
      <c r="B198" s="430" t="str">
        <f>VLOOKUP(A198,Catálogo!$B$3:$C$288,2,0)</f>
        <v>Vías férreas</v>
      </c>
      <c r="C198" s="370">
        <f t="shared" si="19"/>
        <v>0</v>
      </c>
      <c r="D198" s="370">
        <f>[1]GASTOS!F205</f>
        <v>0</v>
      </c>
      <c r="E198" s="370">
        <f>[1]GASTOS!T205</f>
        <v>0</v>
      </c>
      <c r="F198" s="370">
        <f>[1]GASTOS!BD205</f>
        <v>0</v>
      </c>
      <c r="G198" s="370">
        <f>[1]GASTOS!CF205</f>
        <v>0</v>
      </c>
      <c r="L198" s="1333"/>
      <c r="M198" s="1333"/>
      <c r="N198" s="1333">
        <f t="shared" si="12"/>
        <v>0</v>
      </c>
      <c r="O198" s="1333">
        <f t="shared" si="13"/>
        <v>0</v>
      </c>
      <c r="P198" s="1333">
        <f t="shared" si="14"/>
        <v>0</v>
      </c>
      <c r="Q198" s="1333">
        <f t="shared" si="15"/>
        <v>0</v>
      </c>
    </row>
    <row r="199" spans="1:17" s="6" customFormat="1" hidden="1">
      <c r="A199" s="356" t="s">
        <v>858</v>
      </c>
      <c r="B199" s="430" t="str">
        <f>VLOOKUP(A199,Catálogo!$B$3:$C$288,2,0)</f>
        <v>Obras marítimas y fluviales</v>
      </c>
      <c r="C199" s="370">
        <f t="shared" si="19"/>
        <v>0</v>
      </c>
      <c r="D199" s="370">
        <f>[1]GASTOS!F206</f>
        <v>0</v>
      </c>
      <c r="E199" s="370">
        <f>[1]GASTOS!T206</f>
        <v>0</v>
      </c>
      <c r="F199" s="370">
        <f>[1]GASTOS!BD206</f>
        <v>0</v>
      </c>
      <c r="G199" s="370">
        <f>[1]GASTOS!CF206</f>
        <v>0</v>
      </c>
      <c r="L199" s="1333"/>
      <c r="M199" s="1333"/>
      <c r="N199" s="1333">
        <f t="shared" si="12"/>
        <v>0</v>
      </c>
      <c r="O199" s="1333">
        <f t="shared" si="13"/>
        <v>0</v>
      </c>
      <c r="P199" s="1333">
        <f t="shared" si="14"/>
        <v>0</v>
      </c>
      <c r="Q199" s="1333">
        <f t="shared" si="15"/>
        <v>0</v>
      </c>
    </row>
    <row r="200" spans="1:17" s="6" customFormat="1" hidden="1">
      <c r="A200" s="356" t="s">
        <v>860</v>
      </c>
      <c r="B200" s="430" t="str">
        <f>VLOOKUP(A200,Catálogo!$B$3:$C$288,2,0)</f>
        <v>Aeropuertos</v>
      </c>
      <c r="C200" s="370">
        <f t="shared" si="19"/>
        <v>0</v>
      </c>
      <c r="D200" s="370">
        <f>[1]GASTOS!F207</f>
        <v>0</v>
      </c>
      <c r="E200" s="370">
        <f>[1]GASTOS!T207</f>
        <v>0</v>
      </c>
      <c r="F200" s="370">
        <f>[1]GASTOS!BD207</f>
        <v>0</v>
      </c>
      <c r="G200" s="370">
        <f>[1]GASTOS!CF207</f>
        <v>0</v>
      </c>
      <c r="L200" s="1333"/>
      <c r="M200" s="1333"/>
      <c r="N200" s="1333">
        <f t="shared" si="12"/>
        <v>0</v>
      </c>
      <c r="O200" s="1333">
        <f t="shared" si="13"/>
        <v>0</v>
      </c>
      <c r="P200" s="1333">
        <f t="shared" si="14"/>
        <v>0</v>
      </c>
      <c r="Q200" s="1333">
        <f t="shared" si="15"/>
        <v>0</v>
      </c>
    </row>
    <row r="201" spans="1:17" s="6" customFormat="1" hidden="1">
      <c r="A201" s="356" t="s">
        <v>862</v>
      </c>
      <c r="B201" s="430" t="str">
        <f>VLOOKUP(A201,Catálogo!$B$3:$C$288,2,0)</f>
        <v>Obras Urbanísticas</v>
      </c>
      <c r="C201" s="370">
        <f t="shared" si="19"/>
        <v>0</v>
      </c>
      <c r="D201" s="370">
        <f>[1]GASTOS!F208</f>
        <v>0</v>
      </c>
      <c r="E201" s="370">
        <f>[1]GASTOS!T208</f>
        <v>0</v>
      </c>
      <c r="F201" s="370">
        <f>[1]GASTOS!BD208</f>
        <v>0</v>
      </c>
      <c r="G201" s="370">
        <f>[1]GASTOS!CF208</f>
        <v>0</v>
      </c>
      <c r="L201" s="1333"/>
      <c r="M201" s="1333"/>
      <c r="N201" s="1333">
        <f t="shared" si="12"/>
        <v>0</v>
      </c>
      <c r="O201" s="1333">
        <f t="shared" si="13"/>
        <v>0</v>
      </c>
      <c r="P201" s="1333">
        <f t="shared" si="14"/>
        <v>0</v>
      </c>
      <c r="Q201" s="1333">
        <f t="shared" si="15"/>
        <v>0</v>
      </c>
    </row>
    <row r="202" spans="1:17" s="6" customFormat="1" hidden="1">
      <c r="A202" s="356" t="s">
        <v>864</v>
      </c>
      <c r="B202" s="430" t="str">
        <f>VLOOKUP(A202,Catálogo!$B$3:$C$288,2,0)</f>
        <v>Instalaciones</v>
      </c>
      <c r="C202" s="370">
        <f t="shared" si="19"/>
        <v>0</v>
      </c>
      <c r="D202" s="370">
        <f>[1]GASTOS!F209</f>
        <v>0</v>
      </c>
      <c r="E202" s="370">
        <f>[1]GASTOS!T209</f>
        <v>0</v>
      </c>
      <c r="F202" s="370">
        <f>[1]GASTOS!BD209</f>
        <v>0</v>
      </c>
      <c r="G202" s="370">
        <f>[1]GASTOS!CF209</f>
        <v>0</v>
      </c>
      <c r="L202" s="1333"/>
      <c r="M202" s="1333"/>
      <c r="N202" s="1333">
        <f t="shared" si="12"/>
        <v>0</v>
      </c>
      <c r="O202" s="1333">
        <f t="shared" si="13"/>
        <v>0</v>
      </c>
      <c r="P202" s="1333">
        <f t="shared" si="14"/>
        <v>0</v>
      </c>
      <c r="Q202" s="1333">
        <f t="shared" si="15"/>
        <v>0</v>
      </c>
    </row>
    <row r="203" spans="1:17" s="6" customFormat="1">
      <c r="A203" s="356" t="s">
        <v>1090</v>
      </c>
      <c r="B203" s="430" t="str">
        <f>VLOOKUP(A203,Catálogo!$B$3:$C$288,2,0)</f>
        <v>Otras construcciones adiciones y mejoras</v>
      </c>
      <c r="C203" s="370">
        <f t="shared" si="19"/>
        <v>758400000</v>
      </c>
      <c r="D203" s="370">
        <f>[1]GASTOS!F210</f>
        <v>0</v>
      </c>
      <c r="E203" s="370">
        <f>[1]GASTOS!T210</f>
        <v>0</v>
      </c>
      <c r="F203" s="370">
        <f>[1]GASTOS!BD210</f>
        <v>758400000</v>
      </c>
      <c r="G203" s="370">
        <f>[1]GASTOS!CF210</f>
        <v>0</v>
      </c>
      <c r="L203" s="1333"/>
      <c r="M203" s="1333"/>
      <c r="N203" s="1333">
        <f t="shared" si="12"/>
        <v>0</v>
      </c>
      <c r="O203" s="1333">
        <f t="shared" si="13"/>
        <v>796320000</v>
      </c>
      <c r="P203" s="1333">
        <f t="shared" si="14"/>
        <v>836136000</v>
      </c>
      <c r="Q203" s="1333">
        <f t="shared" si="15"/>
        <v>877942800</v>
      </c>
    </row>
    <row r="204" spans="1:17" s="6" customFormat="1">
      <c r="A204" s="185"/>
      <c r="B204" s="402"/>
      <c r="C204" s="370"/>
      <c r="D204" s="370"/>
      <c r="E204" s="370"/>
      <c r="F204" s="370"/>
      <c r="G204" s="370"/>
      <c r="L204" s="1333"/>
      <c r="M204" s="1333"/>
      <c r="N204" s="1333">
        <f t="shared" ref="N204:N267" si="20">SUM(L204:M204)</f>
        <v>0</v>
      </c>
      <c r="O204" s="1333"/>
      <c r="P204" s="1333"/>
      <c r="Q204" s="1333"/>
    </row>
    <row r="205" spans="1:17" s="6" customFormat="1">
      <c r="A205" s="359" t="s">
        <v>1155</v>
      </c>
      <c r="B205" s="396" t="str">
        <f>VLOOKUP(A205,Catálogo!$B$3:$C$288,2,0)</f>
        <v>BIENES PREEXISTENTES</v>
      </c>
      <c r="C205" s="371">
        <f>SUM(C206:C209)</f>
        <v>50000000</v>
      </c>
      <c r="D205" s="371">
        <f>SUM(D206:D209)</f>
        <v>0</v>
      </c>
      <c r="E205" s="371">
        <f>SUM(E206:E209)</f>
        <v>0</v>
      </c>
      <c r="F205" s="371">
        <f>SUM(F206:F209)</f>
        <v>50000000</v>
      </c>
      <c r="G205" s="371">
        <f>SUM(G206:G209)</f>
        <v>0</v>
      </c>
      <c r="L205" s="1333"/>
      <c r="M205" s="1333"/>
      <c r="N205" s="1333">
        <f t="shared" si="20"/>
        <v>0</v>
      </c>
      <c r="O205" s="1333"/>
      <c r="P205" s="1333"/>
      <c r="Q205" s="1333"/>
    </row>
    <row r="206" spans="1:17" s="6" customFormat="1">
      <c r="A206" s="356" t="s">
        <v>647</v>
      </c>
      <c r="B206" s="430" t="str">
        <f>VLOOKUP(A206,Catálogo!$B$3:$C$288,2,0)</f>
        <v>Terrenos</v>
      </c>
      <c r="C206" s="370">
        <f>SUM(D206:G206)</f>
        <v>50000000</v>
      </c>
      <c r="D206" s="370">
        <f>[1]GASTOS!F213</f>
        <v>0</v>
      </c>
      <c r="E206" s="370">
        <f>[1]GASTOS!T213</f>
        <v>0</v>
      </c>
      <c r="F206" s="370">
        <f>[1]GASTOS!BD213</f>
        <v>50000000</v>
      </c>
      <c r="G206" s="370">
        <f>[1]GASTOS!CF213</f>
        <v>0</v>
      </c>
      <c r="L206" s="1333"/>
      <c r="M206" s="1333"/>
      <c r="N206" s="1333">
        <f t="shared" si="20"/>
        <v>0</v>
      </c>
      <c r="O206" s="1333">
        <f t="shared" ref="O206:O262" si="21">(C206-N206)+(C206-N206)*$O$5</f>
        <v>52500000</v>
      </c>
      <c r="P206" s="1333">
        <f t="shared" ref="P206:P262" si="22">O206+O206*$P$5</f>
        <v>55125000</v>
      </c>
      <c r="Q206" s="1333">
        <f t="shared" ref="Q206:Q262" si="23">P206+P206*$Q$5</f>
        <v>57881250</v>
      </c>
    </row>
    <row r="207" spans="1:17" s="6" customFormat="1" hidden="1">
      <c r="A207" s="356" t="s">
        <v>867</v>
      </c>
      <c r="B207" s="430" t="str">
        <f>VLOOKUP(A207,Catálogo!$B$3:$C$288,2,0)</f>
        <v>Edificios preexistentes</v>
      </c>
      <c r="C207" s="370">
        <f>SUM(D207:G207)</f>
        <v>0</v>
      </c>
      <c r="D207" s="370">
        <f>[1]GASTOS!F214</f>
        <v>0</v>
      </c>
      <c r="E207" s="370">
        <f>[1]GASTOS!T214</f>
        <v>0</v>
      </c>
      <c r="F207" s="370">
        <f>[1]GASTOS!BD214</f>
        <v>0</v>
      </c>
      <c r="G207" s="370">
        <f>[1]GASTOS!CF214</f>
        <v>0</v>
      </c>
      <c r="L207" s="1333"/>
      <c r="M207" s="1333"/>
      <c r="N207" s="1333">
        <f t="shared" si="20"/>
        <v>0</v>
      </c>
      <c r="O207" s="1333">
        <f t="shared" si="21"/>
        <v>0</v>
      </c>
      <c r="P207" s="1333">
        <f t="shared" si="22"/>
        <v>0</v>
      </c>
      <c r="Q207" s="1333">
        <f t="shared" si="23"/>
        <v>0</v>
      </c>
    </row>
    <row r="208" spans="1:17" s="6" customFormat="1" hidden="1">
      <c r="A208" s="356" t="s">
        <v>869</v>
      </c>
      <c r="B208" s="430" t="str">
        <f>VLOOKUP(A208,Catálogo!$B$3:$C$288,2,0)</f>
        <v>Otras obras preexistentes</v>
      </c>
      <c r="C208" s="370">
        <f>SUM(D208:G208)</f>
        <v>0</v>
      </c>
      <c r="D208" s="370">
        <f>[1]GASTOS!F215</f>
        <v>0</v>
      </c>
      <c r="E208" s="370">
        <f>[1]GASTOS!T215</f>
        <v>0</v>
      </c>
      <c r="F208" s="370">
        <f>[1]GASTOS!BD215</f>
        <v>0</v>
      </c>
      <c r="G208" s="370">
        <f>[1]GASTOS!CF215</f>
        <v>0</v>
      </c>
      <c r="L208" s="1333"/>
      <c r="M208" s="1333"/>
      <c r="N208" s="1333">
        <f t="shared" si="20"/>
        <v>0</v>
      </c>
      <c r="O208" s="1333">
        <f t="shared" si="21"/>
        <v>0</v>
      </c>
      <c r="P208" s="1333">
        <f t="shared" si="22"/>
        <v>0</v>
      </c>
      <c r="Q208" s="1333">
        <f t="shared" si="23"/>
        <v>0</v>
      </c>
    </row>
    <row r="209" spans="1:17" s="6" customFormat="1">
      <c r="A209" s="185"/>
      <c r="B209" s="402"/>
      <c r="C209" s="370"/>
      <c r="D209" s="370"/>
      <c r="E209" s="370"/>
      <c r="F209" s="370"/>
      <c r="G209" s="370"/>
      <c r="L209" s="1333"/>
      <c r="M209" s="1333"/>
      <c r="N209" s="1333">
        <f t="shared" si="20"/>
        <v>0</v>
      </c>
      <c r="O209" s="1333"/>
      <c r="P209" s="1333"/>
      <c r="Q209" s="1333"/>
    </row>
    <row r="210" spans="1:17" s="6" customFormat="1">
      <c r="A210" s="359" t="s">
        <v>871</v>
      </c>
      <c r="B210" s="396" t="str">
        <f>VLOOKUP(A210,Catálogo!$B$3:$C$288,2,0)</f>
        <v>BIENES DURADEROS DIVERSOS</v>
      </c>
      <c r="C210" s="371">
        <f>SUM(C211:C215)</f>
        <v>6150000</v>
      </c>
      <c r="D210" s="371">
        <f>SUM(D211:D215)</f>
        <v>6150000</v>
      </c>
      <c r="E210" s="371">
        <f>SUM(E211:E215)</f>
        <v>0</v>
      </c>
      <c r="F210" s="371">
        <f>SUM(F211:F215)</f>
        <v>0</v>
      </c>
      <c r="G210" s="371">
        <f>SUM(G211:G215)</f>
        <v>0</v>
      </c>
      <c r="L210" s="1333"/>
      <c r="M210" s="1333"/>
      <c r="N210" s="1333">
        <f t="shared" si="20"/>
        <v>0</v>
      </c>
      <c r="O210" s="1333"/>
      <c r="P210" s="1333"/>
      <c r="Q210" s="1333"/>
    </row>
    <row r="211" spans="1:17" s="6" customFormat="1" hidden="1">
      <c r="A211" s="356" t="s">
        <v>873</v>
      </c>
      <c r="B211" s="430" t="str">
        <f>VLOOKUP(A211,Catálogo!$B$3:$C$288,2,0)</f>
        <v>Semovientes</v>
      </c>
      <c r="C211" s="370">
        <f>SUM(D211:G211)</f>
        <v>0</v>
      </c>
      <c r="D211" s="370">
        <f>[1]GASTOS!F218</f>
        <v>0</v>
      </c>
      <c r="E211" s="370">
        <f>[1]GASTOS!T218</f>
        <v>0</v>
      </c>
      <c r="F211" s="370">
        <f>[1]GASTOS!BD218</f>
        <v>0</v>
      </c>
      <c r="G211" s="370">
        <f>[1]GASTOS!CF218</f>
        <v>0</v>
      </c>
      <c r="L211" s="1333"/>
      <c r="M211" s="1333"/>
      <c r="N211" s="1333">
        <f t="shared" si="20"/>
        <v>0</v>
      </c>
      <c r="O211" s="1333">
        <f t="shared" si="21"/>
        <v>0</v>
      </c>
      <c r="P211" s="1333">
        <f t="shared" si="22"/>
        <v>0</v>
      </c>
      <c r="Q211" s="1333">
        <f t="shared" si="23"/>
        <v>0</v>
      </c>
    </row>
    <row r="212" spans="1:17" s="6" customFormat="1" hidden="1">
      <c r="A212" s="356" t="s">
        <v>875</v>
      </c>
      <c r="B212" s="430" t="str">
        <f>VLOOKUP(A212,Catálogo!$B$3:$C$288,2,0)</f>
        <v>Piezas y obras de colección</v>
      </c>
      <c r="C212" s="370">
        <f>SUM(D212:G212)</f>
        <v>0</v>
      </c>
      <c r="D212" s="370">
        <f>[1]GASTOS!F219</f>
        <v>0</v>
      </c>
      <c r="E212" s="370">
        <f>[1]GASTOS!T219</f>
        <v>0</v>
      </c>
      <c r="F212" s="370">
        <f>[1]GASTOS!BD219</f>
        <v>0</v>
      </c>
      <c r="G212" s="370">
        <f>[1]GASTOS!CF219</f>
        <v>0</v>
      </c>
      <c r="L212" s="1333"/>
      <c r="M212" s="1333"/>
      <c r="N212" s="1333">
        <f t="shared" si="20"/>
        <v>0</v>
      </c>
      <c r="O212" s="1333">
        <f t="shared" si="21"/>
        <v>0</v>
      </c>
      <c r="P212" s="1333">
        <f t="shared" si="22"/>
        <v>0</v>
      </c>
      <c r="Q212" s="1333">
        <f t="shared" si="23"/>
        <v>0</v>
      </c>
    </row>
    <row r="213" spans="1:17" s="6" customFormat="1">
      <c r="A213" s="356" t="s">
        <v>877</v>
      </c>
      <c r="B213" s="430" t="str">
        <f>VLOOKUP(A213,Catálogo!$B$3:$C$288,2,0)</f>
        <v>Bienes intangibles</v>
      </c>
      <c r="C213" s="370">
        <f>SUM(D213:G213)</f>
        <v>6150000</v>
      </c>
      <c r="D213" s="370">
        <f>[1]GASTOS!F220</f>
        <v>6150000</v>
      </c>
      <c r="E213" s="370">
        <f>[1]GASTOS!T220</f>
        <v>0</v>
      </c>
      <c r="F213" s="370">
        <f>[1]GASTOS!BD220</f>
        <v>0</v>
      </c>
      <c r="G213" s="370">
        <f>[1]GASTOS!CF220</f>
        <v>0</v>
      </c>
      <c r="L213" s="1333"/>
      <c r="M213" s="1333"/>
      <c r="N213" s="1333">
        <f t="shared" si="20"/>
        <v>0</v>
      </c>
      <c r="O213" s="1333">
        <f t="shared" si="21"/>
        <v>6457500</v>
      </c>
      <c r="P213" s="1333">
        <f t="shared" si="22"/>
        <v>6780375</v>
      </c>
      <c r="Q213" s="1333">
        <f t="shared" si="23"/>
        <v>7119393.75</v>
      </c>
    </row>
    <row r="214" spans="1:17" s="6" customFormat="1" hidden="1">
      <c r="A214" s="356" t="s">
        <v>879</v>
      </c>
      <c r="B214" s="430" t="str">
        <f>VLOOKUP(A214,Catálogo!$B$3:$C$288,2,0)</f>
        <v>Otros bienes duraderos</v>
      </c>
      <c r="C214" s="370">
        <f>SUM(D214:G214)</f>
        <v>0</v>
      </c>
      <c r="D214" s="370">
        <f>[1]GASTOS!F221</f>
        <v>0</v>
      </c>
      <c r="E214" s="370">
        <f>[1]GASTOS!T221</f>
        <v>0</v>
      </c>
      <c r="F214" s="370">
        <f>[1]GASTOS!BD221</f>
        <v>0</v>
      </c>
      <c r="G214" s="370">
        <f>[1]GASTOS!CF221</f>
        <v>0</v>
      </c>
      <c r="L214" s="1333"/>
      <c r="M214" s="1333"/>
      <c r="N214" s="1333">
        <f t="shared" si="20"/>
        <v>0</v>
      </c>
      <c r="O214" s="1333">
        <f t="shared" si="21"/>
        <v>0</v>
      </c>
      <c r="P214" s="1333">
        <f t="shared" si="22"/>
        <v>0</v>
      </c>
      <c r="Q214" s="1333">
        <f t="shared" si="23"/>
        <v>0</v>
      </c>
    </row>
    <row r="215" spans="1:17" s="6" customFormat="1">
      <c r="A215" s="185"/>
      <c r="B215" s="402"/>
      <c r="C215" s="370"/>
      <c r="D215" s="370"/>
      <c r="E215" s="370"/>
      <c r="F215" s="370"/>
      <c r="G215" s="370"/>
      <c r="L215" s="1333"/>
      <c r="M215" s="1333"/>
      <c r="N215" s="1333">
        <f t="shared" si="20"/>
        <v>0</v>
      </c>
      <c r="O215" s="1333"/>
      <c r="P215" s="1333"/>
      <c r="Q215" s="1333"/>
    </row>
    <row r="216" spans="1:17" s="6" customFormat="1">
      <c r="A216" s="185"/>
      <c r="B216" s="402"/>
      <c r="C216" s="370"/>
      <c r="D216" s="370"/>
      <c r="E216" s="370"/>
      <c r="F216" s="370"/>
      <c r="G216" s="370"/>
      <c r="L216" s="1333"/>
      <c r="M216" s="1333"/>
      <c r="N216" s="1333">
        <f t="shared" si="20"/>
        <v>0</v>
      </c>
      <c r="O216" s="1333"/>
      <c r="P216" s="1333"/>
      <c r="Q216" s="1333"/>
    </row>
    <row r="217" spans="1:17" s="6" customFormat="1">
      <c r="A217" s="185"/>
      <c r="B217" s="402"/>
      <c r="C217" s="370"/>
      <c r="D217" s="370"/>
      <c r="E217" s="370"/>
      <c r="F217" s="370"/>
      <c r="G217" s="370"/>
      <c r="L217" s="1333"/>
      <c r="M217" s="1333"/>
      <c r="N217" s="1333">
        <f t="shared" si="20"/>
        <v>0</v>
      </c>
      <c r="O217" s="1333"/>
      <c r="P217" s="1333"/>
      <c r="Q217" s="1333"/>
    </row>
    <row r="218" spans="1:17" s="6" customFormat="1">
      <c r="A218" s="185"/>
      <c r="B218" s="402"/>
      <c r="C218" s="370"/>
      <c r="D218" s="370"/>
      <c r="E218" s="370"/>
      <c r="F218" s="370"/>
      <c r="G218" s="370"/>
      <c r="L218" s="1333"/>
      <c r="M218" s="1333"/>
      <c r="N218" s="1333">
        <f t="shared" si="20"/>
        <v>0</v>
      </c>
      <c r="O218" s="1333"/>
      <c r="P218" s="1333"/>
      <c r="Q218" s="1333"/>
    </row>
    <row r="219" spans="1:17" s="13" customFormat="1" ht="18.75">
      <c r="A219" s="353" t="s">
        <v>85</v>
      </c>
      <c r="B219" s="687" t="s">
        <v>52</v>
      </c>
      <c r="C219" s="369">
        <f>C221+C227+C232+C236+C241+C244</f>
        <v>449377669</v>
      </c>
      <c r="D219" s="369">
        <f>D221+D227+D232+D236+D241+D244</f>
        <v>403688669</v>
      </c>
      <c r="E219" s="369">
        <f>E221+E227+E232+E236+E241+E244</f>
        <v>13393000</v>
      </c>
      <c r="F219" s="369">
        <f>F221+F227+F232+F236+F241+F244</f>
        <v>32296000</v>
      </c>
      <c r="G219" s="369">
        <f>G221+G227+G232+G236+G241+G244</f>
        <v>0</v>
      </c>
      <c r="H219" s="784">
        <f>[1]GASTOS!$D$224</f>
        <v>449377669</v>
      </c>
      <c r="I219" s="784">
        <f>H219-C219</f>
        <v>0</v>
      </c>
      <c r="L219" s="1333"/>
      <c r="M219" s="1333"/>
      <c r="N219" s="1333">
        <f t="shared" si="20"/>
        <v>0</v>
      </c>
      <c r="O219" s="1333"/>
      <c r="P219" s="1333"/>
      <c r="Q219" s="1333"/>
    </row>
    <row r="220" spans="1:17" s="6" customFormat="1">
      <c r="A220" s="363"/>
      <c r="B220" s="403"/>
      <c r="C220" s="370"/>
      <c r="D220" s="370"/>
      <c r="E220" s="370"/>
      <c r="F220" s="370"/>
      <c r="G220" s="370"/>
      <c r="L220" s="1333"/>
      <c r="M220" s="1333"/>
      <c r="N220" s="1333">
        <f t="shared" si="20"/>
        <v>0</v>
      </c>
      <c r="O220" s="1333"/>
      <c r="P220" s="1333"/>
      <c r="Q220" s="1333"/>
    </row>
    <row r="221" spans="1:17" s="6" customFormat="1" ht="24.75">
      <c r="A221" s="355" t="s">
        <v>485</v>
      </c>
      <c r="B221" s="396" t="str">
        <f>VLOOKUP(A221,Catálogo!$B$3:$C$288,2,0)</f>
        <v>TRANSFERENCIAS CORRIENTES AL SECTOR PÚBLICO</v>
      </c>
      <c r="C221" s="371">
        <f>SUM(C222:C225)</f>
        <v>335533498</v>
      </c>
      <c r="D221" s="371">
        <f>SUM(D222:D225)</f>
        <v>335533498</v>
      </c>
      <c r="E221" s="371">
        <f>SUM(E222:E225)</f>
        <v>0</v>
      </c>
      <c r="F221" s="371">
        <f>SUM(F222:F225)</f>
        <v>0</v>
      </c>
      <c r="G221" s="371">
        <f>SUM(G222:G225)</f>
        <v>0</v>
      </c>
      <c r="L221" s="1333"/>
      <c r="M221" s="1333"/>
      <c r="N221" s="1333">
        <f t="shared" si="20"/>
        <v>0</v>
      </c>
      <c r="O221" s="1333"/>
      <c r="P221" s="1333"/>
      <c r="Q221" s="1333"/>
    </row>
    <row r="222" spans="1:17" s="6" customFormat="1">
      <c r="A222" s="356" t="s">
        <v>486</v>
      </c>
      <c r="B222" s="430" t="str">
        <f>VLOOKUP(A222,Catálogo!$B$3:$C$288,2,0)</f>
        <v>Transferencias corrientes al Gobierno Central</v>
      </c>
      <c r="C222" s="370">
        <f>SUM(D222:G222)</f>
        <v>10800000</v>
      </c>
      <c r="D222" s="370">
        <f>[1]GASTOS!F227</f>
        <v>10800000</v>
      </c>
      <c r="E222" s="370">
        <f>[1]GASTOS!T227</f>
        <v>0</v>
      </c>
      <c r="F222" s="370">
        <f>[1]GASTOS!BD227</f>
        <v>0</v>
      </c>
      <c r="G222" s="370">
        <f>[1]GASTOS!CF227</f>
        <v>0</v>
      </c>
      <c r="L222" s="1333"/>
      <c r="M222" s="1333"/>
      <c r="N222" s="1333">
        <f t="shared" si="20"/>
        <v>0</v>
      </c>
      <c r="O222" s="1333">
        <f t="shared" si="21"/>
        <v>11340000</v>
      </c>
      <c r="P222" s="1333">
        <f t="shared" si="22"/>
        <v>11907000</v>
      </c>
      <c r="Q222" s="1333">
        <f t="shared" si="23"/>
        <v>12502350</v>
      </c>
    </row>
    <row r="223" spans="1:17" s="6" customFormat="1" ht="24.75">
      <c r="A223" s="356" t="s">
        <v>487</v>
      </c>
      <c r="B223" s="430" t="str">
        <f>VLOOKUP(A223,Catálogo!$B$3:$C$288,2,0)</f>
        <v>Transferencias corrientes a Órganos Desconcentrados</v>
      </c>
      <c r="C223" s="370">
        <f>SUM(D223:G223)</f>
        <v>34515240</v>
      </c>
      <c r="D223" s="370">
        <f>[1]GASTOS!F230</f>
        <v>34515240</v>
      </c>
      <c r="E223" s="370">
        <f>[1]GASTOS!T230</f>
        <v>0</v>
      </c>
      <c r="F223" s="370">
        <f>[1]GASTOS!BD230</f>
        <v>0</v>
      </c>
      <c r="G223" s="370">
        <f>[1]GASTOS!CF230</f>
        <v>0</v>
      </c>
      <c r="L223" s="1333"/>
      <c r="M223" s="1333"/>
      <c r="N223" s="1333">
        <f t="shared" si="20"/>
        <v>0</v>
      </c>
      <c r="O223" s="1333">
        <f t="shared" si="21"/>
        <v>36241002</v>
      </c>
      <c r="P223" s="1333">
        <f t="shared" si="22"/>
        <v>38053052.100000001</v>
      </c>
      <c r="Q223" s="1333">
        <f t="shared" si="23"/>
        <v>39955704.704999998</v>
      </c>
    </row>
    <row r="224" spans="1:17" s="6" customFormat="1" ht="24.75">
      <c r="A224" s="356" t="s">
        <v>488</v>
      </c>
      <c r="B224" s="430" t="str">
        <f>VLOOKUP(A224,Catálogo!$B$3:$C$288,2,0)</f>
        <v>Transferencias corrientes a Instituciones Descentralizadas no  Empresariales</v>
      </c>
      <c r="C224" s="370">
        <f>SUM(D224:G224)</f>
        <v>138664363</v>
      </c>
      <c r="D224" s="370">
        <f>[1]GASTOS!F234</f>
        <v>138664363</v>
      </c>
      <c r="E224" s="370">
        <f>[1]GASTOS!T234</f>
        <v>0</v>
      </c>
      <c r="F224" s="370">
        <f>[1]GASTOS!BD234</f>
        <v>0</v>
      </c>
      <c r="G224" s="370">
        <f>[1]GASTOS!CF234</f>
        <v>0</v>
      </c>
      <c r="L224" s="1333"/>
      <c r="M224" s="1333"/>
      <c r="N224" s="1333">
        <f t="shared" si="20"/>
        <v>0</v>
      </c>
      <c r="O224" s="1333">
        <f t="shared" si="21"/>
        <v>145597581.15000001</v>
      </c>
      <c r="P224" s="1333">
        <f t="shared" si="22"/>
        <v>152877460.20750001</v>
      </c>
      <c r="Q224" s="1333">
        <f t="shared" si="23"/>
        <v>160521333.217875</v>
      </c>
    </row>
    <row r="225" spans="1:17" s="6" customFormat="1">
      <c r="A225" s="356" t="s">
        <v>489</v>
      </c>
      <c r="B225" s="430" t="str">
        <f>VLOOKUP(A225,Catálogo!$B$3:$C$288,2,0)</f>
        <v>Transferencias corrientes a Gobiernos Locales</v>
      </c>
      <c r="C225" s="370">
        <f>SUM(D225:G225)</f>
        <v>151553895</v>
      </c>
      <c r="D225" s="370">
        <f>[1]GASTOS!F239</f>
        <v>151553895</v>
      </c>
      <c r="E225" s="370">
        <f>[1]GASTOS!T239</f>
        <v>0</v>
      </c>
      <c r="F225" s="370">
        <f>[1]GASTOS!BD239</f>
        <v>0</v>
      </c>
      <c r="G225" s="370">
        <f>[1]GASTOS!CF239</f>
        <v>0</v>
      </c>
      <c r="L225" s="1333"/>
      <c r="M225" s="1333"/>
      <c r="N225" s="1333">
        <f t="shared" si="20"/>
        <v>0</v>
      </c>
      <c r="O225" s="1333">
        <f t="shared" si="21"/>
        <v>159131589.75</v>
      </c>
      <c r="P225" s="1333">
        <f t="shared" si="22"/>
        <v>167088169.23750001</v>
      </c>
      <c r="Q225" s="1333">
        <f t="shared" si="23"/>
        <v>175442577.699375</v>
      </c>
    </row>
    <row r="226" spans="1:17" s="6" customFormat="1">
      <c r="A226" s="356"/>
      <c r="B226" s="394"/>
      <c r="C226" s="370"/>
      <c r="D226" s="370"/>
      <c r="E226" s="370"/>
      <c r="F226" s="370"/>
      <c r="G226" s="370"/>
      <c r="L226" s="1333"/>
      <c r="M226" s="1333"/>
      <c r="N226" s="1333">
        <f t="shared" si="20"/>
        <v>0</v>
      </c>
      <c r="O226" s="1333"/>
      <c r="P226" s="1333"/>
      <c r="Q226" s="1333"/>
    </row>
    <row r="227" spans="1:17" s="6" customFormat="1">
      <c r="A227" s="355" t="s">
        <v>490</v>
      </c>
      <c r="B227" s="396" t="str">
        <f>VLOOKUP(A227,Catálogo!$B$3:$C$288,2,0)</f>
        <v>TRANSFERENCIAS CORRIENTES A PERSONAS</v>
      </c>
      <c r="C227" s="371">
        <f>SUM(C228:C230)</f>
        <v>27900000</v>
      </c>
      <c r="D227" s="371">
        <f>SUM(D228:D230)</f>
        <v>8911000</v>
      </c>
      <c r="E227" s="371">
        <f>SUM(E228:E230)</f>
        <v>7193000</v>
      </c>
      <c r="F227" s="371">
        <f>SUM(F228:F230)</f>
        <v>11796000</v>
      </c>
      <c r="G227" s="371">
        <f>SUM(G228:G230)</f>
        <v>0</v>
      </c>
      <c r="L227" s="1333"/>
      <c r="M227" s="1333"/>
      <c r="N227" s="1333">
        <f t="shared" si="20"/>
        <v>0</v>
      </c>
      <c r="O227" s="1333"/>
      <c r="P227" s="1333"/>
      <c r="Q227" s="1333"/>
    </row>
    <row r="228" spans="1:17" s="6" customFormat="1">
      <c r="A228" s="356" t="s">
        <v>491</v>
      </c>
      <c r="B228" s="430" t="str">
        <f>VLOOKUP(A228,Catálogo!$B$3:$C$288,2,0)</f>
        <v>Becas a funcionarios</v>
      </c>
      <c r="C228" s="370">
        <f>SUM(D228:G228)</f>
        <v>2000000</v>
      </c>
      <c r="D228" s="370">
        <f>[1]GASTOS!F244</f>
        <v>2000000</v>
      </c>
      <c r="E228" s="370">
        <f>[1]GASTOS!T244</f>
        <v>0</v>
      </c>
      <c r="F228" s="370">
        <f>[1]GASTOS!BD244</f>
        <v>0</v>
      </c>
      <c r="G228" s="370">
        <f>[1]GASTOS!CF244</f>
        <v>0</v>
      </c>
      <c r="L228" s="1333"/>
      <c r="M228" s="1333"/>
      <c r="N228" s="1333">
        <f t="shared" si="20"/>
        <v>0</v>
      </c>
      <c r="O228" s="1333">
        <f t="shared" si="21"/>
        <v>2100000</v>
      </c>
      <c r="P228" s="1333">
        <f t="shared" si="22"/>
        <v>2205000</v>
      </c>
      <c r="Q228" s="1333">
        <f t="shared" si="23"/>
        <v>2315250</v>
      </c>
    </row>
    <row r="229" spans="1:17" s="6" customFormat="1" hidden="1">
      <c r="A229" s="356" t="s">
        <v>896</v>
      </c>
      <c r="B229" s="430" t="str">
        <f>VLOOKUP(A229,Catálogo!$B$3:$C$288,2,0)</f>
        <v>Becas a terceras personas</v>
      </c>
      <c r="C229" s="370">
        <f>SUM(D229:G229)</f>
        <v>0</v>
      </c>
      <c r="D229" s="370">
        <f>[1]GASTOS!F245</f>
        <v>0</v>
      </c>
      <c r="E229" s="370">
        <f>[1]GASTOS!T245</f>
        <v>0</v>
      </c>
      <c r="F229" s="370">
        <f>[1]GASTOS!BD245</f>
        <v>0</v>
      </c>
      <c r="G229" s="370">
        <f>[1]GASTOS!CF245</f>
        <v>0</v>
      </c>
      <c r="L229" s="1333"/>
      <c r="M229" s="1333"/>
      <c r="N229" s="1333">
        <f t="shared" si="20"/>
        <v>0</v>
      </c>
      <c r="O229" s="1333">
        <f t="shared" si="21"/>
        <v>0</v>
      </c>
      <c r="P229" s="1333">
        <f t="shared" si="22"/>
        <v>0</v>
      </c>
      <c r="Q229" s="1333">
        <f t="shared" si="23"/>
        <v>0</v>
      </c>
    </row>
    <row r="230" spans="1:17" s="6" customFormat="1">
      <c r="A230" s="356" t="s">
        <v>493</v>
      </c>
      <c r="B230" s="430" t="str">
        <f>VLOOKUP(A230,Catálogo!$B$3:$C$288,2,0)</f>
        <v xml:space="preserve">Ayudas a funcionarios </v>
      </c>
      <c r="C230" s="370">
        <f>SUM(D230:G230)</f>
        <v>25900000</v>
      </c>
      <c r="D230" s="370">
        <f>[1]GASTOS!F246</f>
        <v>6911000</v>
      </c>
      <c r="E230" s="370">
        <f>[1]GASTOS!T246</f>
        <v>7193000</v>
      </c>
      <c r="F230" s="370">
        <f>[1]GASTOS!BD246</f>
        <v>11796000</v>
      </c>
      <c r="G230" s="370">
        <f>[1]GASTOS!CF246</f>
        <v>0</v>
      </c>
      <c r="L230" s="1333"/>
      <c r="M230" s="1333"/>
      <c r="N230" s="1333">
        <f t="shared" si="20"/>
        <v>0</v>
      </c>
      <c r="O230" s="1333">
        <f t="shared" si="21"/>
        <v>27195000</v>
      </c>
      <c r="P230" s="1333">
        <f t="shared" si="22"/>
        <v>28554750</v>
      </c>
      <c r="Q230" s="1333">
        <f t="shared" si="23"/>
        <v>29982487.5</v>
      </c>
    </row>
    <row r="231" spans="1:17" s="6" customFormat="1">
      <c r="A231" s="356"/>
      <c r="B231" s="394"/>
      <c r="C231" s="370"/>
      <c r="D231" s="370"/>
      <c r="E231" s="370"/>
      <c r="F231" s="370"/>
      <c r="G231" s="370"/>
      <c r="L231" s="1333"/>
      <c r="M231" s="1333"/>
      <c r="N231" s="1333">
        <f t="shared" si="20"/>
        <v>0</v>
      </c>
      <c r="O231" s="1333"/>
      <c r="P231" s="1333"/>
      <c r="Q231" s="1333"/>
    </row>
    <row r="232" spans="1:17" s="6" customFormat="1">
      <c r="A232" s="355" t="s">
        <v>494</v>
      </c>
      <c r="B232" s="396" t="str">
        <f>VLOOKUP(A232,Catálogo!$B$3:$C$288,2,0)</f>
        <v xml:space="preserve">PRESTACIONES </v>
      </c>
      <c r="C232" s="371">
        <f>SUM(C233:C234)</f>
        <v>58260128</v>
      </c>
      <c r="D232" s="371">
        <f>SUM(D233:D234)</f>
        <v>31560128</v>
      </c>
      <c r="E232" s="371">
        <f>SUM(E233:E234)</f>
        <v>6200000</v>
      </c>
      <c r="F232" s="371">
        <f>SUM(F233:F234)</f>
        <v>20500000</v>
      </c>
      <c r="G232" s="371">
        <f>SUM(G233:G234)</f>
        <v>0</v>
      </c>
      <c r="L232" s="1333"/>
      <c r="M232" s="1333"/>
      <c r="N232" s="1333">
        <f t="shared" si="20"/>
        <v>0</v>
      </c>
      <c r="O232" s="1333"/>
      <c r="P232" s="1333"/>
      <c r="Q232" s="1333"/>
    </row>
    <row r="233" spans="1:17" s="6" customFormat="1">
      <c r="A233" s="356" t="s">
        <v>496</v>
      </c>
      <c r="B233" s="430" t="str">
        <f>VLOOKUP(A233,Catálogo!$B$3:$C$288,2,0)</f>
        <v>Prestaciones legales</v>
      </c>
      <c r="C233" s="370">
        <f>SUM(D233:G233)</f>
        <v>58260128</v>
      </c>
      <c r="D233" s="370">
        <f>[1]GASTOS!F249</f>
        <v>31560128</v>
      </c>
      <c r="E233" s="370">
        <f>[1]GASTOS!T249</f>
        <v>6200000</v>
      </c>
      <c r="F233" s="370">
        <f>[1]GASTOS!BD249</f>
        <v>20500000</v>
      </c>
      <c r="G233" s="370">
        <f>[1]GASTOS!CF249</f>
        <v>0</v>
      </c>
      <c r="L233" s="1333"/>
      <c r="M233" s="1333"/>
      <c r="N233" s="1333">
        <f t="shared" si="20"/>
        <v>0</v>
      </c>
      <c r="O233" s="1333">
        <f t="shared" si="21"/>
        <v>61173134.399999999</v>
      </c>
      <c r="P233" s="1333">
        <f t="shared" si="22"/>
        <v>64231791.119999997</v>
      </c>
      <c r="Q233" s="1333">
        <f t="shared" si="23"/>
        <v>67443380.675999999</v>
      </c>
    </row>
    <row r="234" spans="1:17" s="6" customFormat="1" hidden="1">
      <c r="A234" s="356" t="s">
        <v>908</v>
      </c>
      <c r="B234" s="430" t="str">
        <f>VLOOKUP(A234,Catálogo!$B$3:$C$288,2,0)</f>
        <v>Otras prestaciones</v>
      </c>
      <c r="C234" s="370">
        <f>SUM(D234:G234)</f>
        <v>0</v>
      </c>
      <c r="D234" s="370">
        <f>[1]GASTOS!F250</f>
        <v>0</v>
      </c>
      <c r="E234" s="370">
        <f>[1]GASTOS!T250</f>
        <v>0</v>
      </c>
      <c r="F234" s="370">
        <f>[1]GASTOS!BD250</f>
        <v>0</v>
      </c>
      <c r="G234" s="370">
        <f>[1]GASTOS!CF250</f>
        <v>0</v>
      </c>
      <c r="L234" s="1333"/>
      <c r="M234" s="1333"/>
      <c r="N234" s="1333">
        <f t="shared" si="20"/>
        <v>0</v>
      </c>
      <c r="O234" s="1333">
        <f t="shared" si="21"/>
        <v>0</v>
      </c>
      <c r="P234" s="1333">
        <f t="shared" si="22"/>
        <v>0</v>
      </c>
      <c r="Q234" s="1333">
        <f t="shared" si="23"/>
        <v>0</v>
      </c>
    </row>
    <row r="235" spans="1:17" s="13" customFormat="1">
      <c r="A235" s="356"/>
      <c r="B235" s="394"/>
      <c r="C235" s="370"/>
      <c r="D235" s="370"/>
      <c r="E235" s="370"/>
      <c r="F235" s="370"/>
      <c r="G235" s="370"/>
      <c r="L235" s="1333"/>
      <c r="M235" s="1333"/>
      <c r="N235" s="1333">
        <f t="shared" si="20"/>
        <v>0</v>
      </c>
      <c r="O235" s="1333"/>
      <c r="P235" s="1333"/>
      <c r="Q235" s="1333"/>
    </row>
    <row r="236" spans="1:17" s="13" customFormat="1" ht="24.75">
      <c r="A236" s="359" t="s">
        <v>497</v>
      </c>
      <c r="B236" s="396" t="str">
        <f>VLOOKUP(A236,Catálogo!$B$3:$C$288,2,0)</f>
        <v>TRANSFERENCIAS CORRIENTES A ENTIDADES PRIVADAS SIN FINES DE LUCRO</v>
      </c>
      <c r="C236" s="371">
        <f>SUM(C237:C239)</f>
        <v>25684043</v>
      </c>
      <c r="D236" s="371">
        <f>SUM(D237:D239)</f>
        <v>25684043</v>
      </c>
      <c r="E236" s="371">
        <f>SUM(E237:E239)</f>
        <v>0</v>
      </c>
      <c r="F236" s="371">
        <f>SUM(F237:F239)</f>
        <v>0</v>
      </c>
      <c r="G236" s="371">
        <f>SUM(G237:G239)</f>
        <v>0</v>
      </c>
      <c r="L236" s="1333"/>
      <c r="M236" s="1333"/>
      <c r="N236" s="1333">
        <f t="shared" si="20"/>
        <v>0</v>
      </c>
      <c r="O236" s="1333"/>
      <c r="P236" s="1333"/>
      <c r="Q236" s="1333"/>
    </row>
    <row r="237" spans="1:17" s="6" customFormat="1">
      <c r="A237" s="356" t="s">
        <v>498</v>
      </c>
      <c r="B237" s="430" t="str">
        <f>VLOOKUP(A237,Catálogo!$B$3:$C$288,2,0)</f>
        <v>Transferencias corrientes a asociaciones</v>
      </c>
      <c r="C237" s="370">
        <f>SUM(D237:G237)</f>
        <v>25684043</v>
      </c>
      <c r="D237" s="370">
        <f>[1]GASTOS!F253</f>
        <v>25684043</v>
      </c>
      <c r="E237" s="370">
        <f>[1]GASTOS!T253</f>
        <v>0</v>
      </c>
      <c r="F237" s="370">
        <f>[1]GASTOS!BD253</f>
        <v>0</v>
      </c>
      <c r="G237" s="370">
        <f>[1]GASTOS!CF253</f>
        <v>0</v>
      </c>
      <c r="L237" s="1333"/>
      <c r="M237" s="1333"/>
      <c r="N237" s="1333">
        <f t="shared" si="20"/>
        <v>0</v>
      </c>
      <c r="O237" s="1333">
        <f t="shared" si="21"/>
        <v>26968245.149999999</v>
      </c>
      <c r="P237" s="1333">
        <f t="shared" si="22"/>
        <v>28316657.407499999</v>
      </c>
      <c r="Q237" s="1333">
        <f t="shared" si="23"/>
        <v>29732490.277874999</v>
      </c>
    </row>
    <row r="238" spans="1:17" s="6" customFormat="1" ht="19.5" hidden="1" customHeight="1">
      <c r="A238" s="356" t="s">
        <v>910</v>
      </c>
      <c r="B238" s="430" t="str">
        <f>VLOOKUP(A238,Catálogo!$B$3:$C$288,2,0)</f>
        <v xml:space="preserve">Transferencias corrientes a fundaciones          </v>
      </c>
      <c r="C238" s="370">
        <f>SUM(D238:G238)</f>
        <v>0</v>
      </c>
      <c r="D238" s="370">
        <f>[1]GASTOS!F256</f>
        <v>0</v>
      </c>
      <c r="E238" s="370">
        <f>[1]GASTOS!T256</f>
        <v>0</v>
      </c>
      <c r="F238" s="370">
        <f>[1]GASTOS!BD256</f>
        <v>0</v>
      </c>
      <c r="G238" s="370">
        <f>[1]GASTOS!CF256</f>
        <v>0</v>
      </c>
      <c r="L238" s="1333"/>
      <c r="M238" s="1333"/>
      <c r="N238" s="1333">
        <f t="shared" si="20"/>
        <v>0</v>
      </c>
      <c r="O238" s="1333">
        <f t="shared" si="21"/>
        <v>0</v>
      </c>
      <c r="P238" s="1333">
        <f t="shared" si="22"/>
        <v>0</v>
      </c>
      <c r="Q238" s="1333">
        <f t="shared" si="23"/>
        <v>0</v>
      </c>
    </row>
    <row r="239" spans="1:17" s="6" customFormat="1" ht="24.75" hidden="1">
      <c r="A239" s="356" t="s">
        <v>914</v>
      </c>
      <c r="B239" s="430" t="str">
        <f>VLOOKUP(A239,Catálogo!$B$3:$C$288,2,0)</f>
        <v>Transferencias corrientes a otras entidades privadas sin fines de lucro</v>
      </c>
      <c r="C239" s="370">
        <f>SUM(D239:G239)</f>
        <v>0</v>
      </c>
      <c r="D239" s="370">
        <f>[1]GASTOS!F259</f>
        <v>0</v>
      </c>
      <c r="E239" s="370">
        <f>[1]GASTOS!T259</f>
        <v>0</v>
      </c>
      <c r="F239" s="370">
        <f>[1]GASTOS!BD259</f>
        <v>0</v>
      </c>
      <c r="G239" s="370">
        <f>[1]GASTOS!CF256</f>
        <v>0</v>
      </c>
      <c r="L239" s="1333"/>
      <c r="M239" s="1333"/>
      <c r="N239" s="1333">
        <f t="shared" si="20"/>
        <v>0</v>
      </c>
      <c r="O239" s="1333">
        <f t="shared" si="21"/>
        <v>0</v>
      </c>
      <c r="P239" s="1333">
        <f t="shared" si="22"/>
        <v>0</v>
      </c>
      <c r="Q239" s="1333">
        <f t="shared" si="23"/>
        <v>0</v>
      </c>
    </row>
    <row r="240" spans="1:17" s="6" customFormat="1" hidden="1">
      <c r="A240" s="185"/>
      <c r="B240" s="402"/>
      <c r="C240" s="370"/>
      <c r="D240" s="370"/>
      <c r="E240" s="370"/>
      <c r="F240" s="370"/>
      <c r="G240" s="370"/>
      <c r="L240" s="1333"/>
      <c r="M240" s="1333"/>
      <c r="N240" s="1333">
        <f t="shared" si="20"/>
        <v>0</v>
      </c>
      <c r="O240" s="1333">
        <f t="shared" si="21"/>
        <v>0</v>
      </c>
      <c r="P240" s="1333">
        <f t="shared" si="22"/>
        <v>0</v>
      </c>
      <c r="Q240" s="1333">
        <f t="shared" si="23"/>
        <v>0</v>
      </c>
    </row>
    <row r="241" spans="1:17" s="13" customFormat="1" ht="24.75" hidden="1">
      <c r="A241" s="359" t="s">
        <v>916</v>
      </c>
      <c r="B241" s="396" t="str">
        <f>VLOOKUP(A241,Catálogo!$B$3:$C$288,2,0)</f>
        <v xml:space="preserve">TRANSFERENCIAS CORRIENTES A EMPRESAS PRIVADAS </v>
      </c>
      <c r="C241" s="371">
        <f>SUM(C242:C242)</f>
        <v>0</v>
      </c>
      <c r="D241" s="371">
        <f>SUM(D242:D242)</f>
        <v>0</v>
      </c>
      <c r="E241" s="371">
        <f>SUM(E242:E242)</f>
        <v>0</v>
      </c>
      <c r="F241" s="371">
        <f>SUM(F242:F242)</f>
        <v>0</v>
      </c>
      <c r="G241" s="371">
        <f>SUM(G242:G242)</f>
        <v>0</v>
      </c>
      <c r="L241" s="1333"/>
      <c r="M241" s="1333"/>
      <c r="N241" s="1333">
        <f t="shared" si="20"/>
        <v>0</v>
      </c>
      <c r="O241" s="1333">
        <f t="shared" si="21"/>
        <v>0</v>
      </c>
      <c r="P241" s="1333">
        <f t="shared" si="22"/>
        <v>0</v>
      </c>
      <c r="Q241" s="1333">
        <f t="shared" si="23"/>
        <v>0</v>
      </c>
    </row>
    <row r="242" spans="1:17" s="6" customFormat="1" hidden="1">
      <c r="A242" s="356" t="s">
        <v>918</v>
      </c>
      <c r="B242" s="430" t="str">
        <f>VLOOKUP(A242,Catálogo!$B$3:$C$288,2,0)</f>
        <v>Transferencias corrientes a empresas privadas</v>
      </c>
      <c r="C242" s="370">
        <f>SUM(D242:G242)</f>
        <v>0</v>
      </c>
      <c r="D242" s="370">
        <f>[1]GASTOS!F263</f>
        <v>0</v>
      </c>
      <c r="E242" s="370">
        <f>[1]GASTOS!T263</f>
        <v>0</v>
      </c>
      <c r="F242" s="370">
        <f>[1]GASTOS!BD263</f>
        <v>0</v>
      </c>
      <c r="G242" s="370">
        <f>[1]GASTOS!CF263</f>
        <v>0</v>
      </c>
      <c r="L242" s="1333"/>
      <c r="M242" s="1333"/>
      <c r="N242" s="1333">
        <f t="shared" si="20"/>
        <v>0</v>
      </c>
      <c r="O242" s="1333">
        <f t="shared" si="21"/>
        <v>0</v>
      </c>
      <c r="P242" s="1333">
        <f t="shared" si="22"/>
        <v>0</v>
      </c>
      <c r="Q242" s="1333">
        <f t="shared" si="23"/>
        <v>0</v>
      </c>
    </row>
    <row r="243" spans="1:17" s="6" customFormat="1">
      <c r="A243" s="185"/>
      <c r="B243" s="402"/>
      <c r="C243" s="370"/>
      <c r="D243" s="370"/>
      <c r="E243" s="370"/>
      <c r="F243" s="370"/>
      <c r="G243" s="370"/>
      <c r="L243" s="1333"/>
      <c r="M243" s="1333"/>
      <c r="N243" s="1333">
        <f t="shared" si="20"/>
        <v>0</v>
      </c>
      <c r="O243" s="1333"/>
      <c r="P243" s="1333"/>
      <c r="Q243" s="1333"/>
    </row>
    <row r="244" spans="1:17" s="13" customFormat="1" ht="24.75">
      <c r="A244" s="359" t="s">
        <v>920</v>
      </c>
      <c r="B244" s="396" t="str">
        <f>VLOOKUP(A244,Catálogo!$B$3:$C$288,2,0)</f>
        <v>OTRAS TRANSFERENCIAS CORRIENTES AL SECTOR PRIVADO</v>
      </c>
      <c r="C244" s="371">
        <f>SUM(C245:C246)</f>
        <v>2000000</v>
      </c>
      <c r="D244" s="371">
        <f>SUM(D245:D246)</f>
        <v>2000000</v>
      </c>
      <c r="E244" s="371">
        <f>SUM(E245:E246)</f>
        <v>0</v>
      </c>
      <c r="F244" s="371">
        <f>SUM(F245:F246)</f>
        <v>0</v>
      </c>
      <c r="G244" s="371">
        <f>SUM(G245:G246)</f>
        <v>0</v>
      </c>
      <c r="L244" s="1333"/>
      <c r="M244" s="1333"/>
      <c r="N244" s="1333">
        <f t="shared" si="20"/>
        <v>0</v>
      </c>
      <c r="O244" s="1333"/>
      <c r="P244" s="1333"/>
      <c r="Q244" s="1333"/>
    </row>
    <row r="245" spans="1:17" s="6" customFormat="1" hidden="1">
      <c r="A245" s="356" t="s">
        <v>922</v>
      </c>
      <c r="B245" s="430" t="str">
        <f>VLOOKUP(A245,Catálogo!$B$3:$C$288,2,0)</f>
        <v>Indemnizaciones</v>
      </c>
      <c r="C245" s="370">
        <f>SUM(D245:G245)</f>
        <v>0</v>
      </c>
      <c r="D245" s="370">
        <f>[1]GASTOS!F267</f>
        <v>0</v>
      </c>
      <c r="E245" s="370">
        <f>[1]GASTOS!T267</f>
        <v>0</v>
      </c>
      <c r="F245" s="370">
        <f>[1]GASTOS!BD267</f>
        <v>0</v>
      </c>
      <c r="G245" s="370">
        <f>[1]GASTOS!CF267</f>
        <v>0</v>
      </c>
      <c r="L245" s="1333"/>
      <c r="M245" s="1333"/>
      <c r="N245" s="1333">
        <f t="shared" si="20"/>
        <v>0</v>
      </c>
      <c r="O245" s="1333">
        <f t="shared" si="21"/>
        <v>0</v>
      </c>
      <c r="P245" s="1333">
        <f t="shared" si="22"/>
        <v>0</v>
      </c>
      <c r="Q245" s="1333">
        <f t="shared" si="23"/>
        <v>0</v>
      </c>
    </row>
    <row r="246" spans="1:17" s="6" customFormat="1">
      <c r="A246" s="356" t="s">
        <v>924</v>
      </c>
      <c r="B246" s="430" t="str">
        <f>VLOOKUP(A246,Catálogo!$B$3:$C$288,2,0)</f>
        <v>Reintegros o devoluciones</v>
      </c>
      <c r="C246" s="370">
        <f>SUM(D246:G246)</f>
        <v>2000000</v>
      </c>
      <c r="D246" s="370">
        <f>[1]GASTOS!F268</f>
        <v>2000000</v>
      </c>
      <c r="E246" s="370">
        <f>[1]GASTOS!T268</f>
        <v>0</v>
      </c>
      <c r="F246" s="370">
        <f>[1]GASTOS!BD268</f>
        <v>0</v>
      </c>
      <c r="G246" s="370">
        <f>[1]GASTOS!CF268</f>
        <v>0</v>
      </c>
      <c r="L246" s="1333"/>
      <c r="M246" s="1333"/>
      <c r="N246" s="1333">
        <f t="shared" si="20"/>
        <v>0</v>
      </c>
      <c r="O246" s="1333">
        <f t="shared" si="21"/>
        <v>2100000</v>
      </c>
      <c r="P246" s="1333">
        <f t="shared" si="22"/>
        <v>2205000</v>
      </c>
      <c r="Q246" s="1333">
        <f t="shared" si="23"/>
        <v>2315250</v>
      </c>
    </row>
    <row r="247" spans="1:17" s="6" customFormat="1">
      <c r="A247" s="185"/>
      <c r="B247" s="402"/>
      <c r="C247" s="370"/>
      <c r="D247" s="370"/>
      <c r="E247" s="370"/>
      <c r="F247" s="370"/>
      <c r="G247" s="370"/>
      <c r="L247" s="1333"/>
      <c r="M247" s="1333"/>
      <c r="N247" s="1333">
        <f t="shared" si="20"/>
        <v>0</v>
      </c>
      <c r="O247" s="1333"/>
      <c r="P247" s="1333"/>
      <c r="Q247" s="1333"/>
    </row>
    <row r="248" spans="1:17" s="6" customFormat="1">
      <c r="A248" s="185"/>
      <c r="B248" s="402"/>
      <c r="C248" s="370"/>
      <c r="D248" s="370"/>
      <c r="E248" s="370"/>
      <c r="F248" s="370"/>
      <c r="G248" s="370"/>
      <c r="L248" s="1333"/>
      <c r="M248" s="1333"/>
      <c r="N248" s="1333">
        <f t="shared" si="20"/>
        <v>0</v>
      </c>
      <c r="O248" s="1333"/>
      <c r="P248" s="1333"/>
      <c r="Q248" s="1333"/>
    </row>
    <row r="249" spans="1:17" s="13" customFormat="1" ht="18.75">
      <c r="A249" s="353">
        <v>7</v>
      </c>
      <c r="B249" s="687" t="s">
        <v>54</v>
      </c>
      <c r="C249" s="369">
        <f>C251</f>
        <v>13325300</v>
      </c>
      <c r="D249" s="369">
        <f>D251</f>
        <v>13325300</v>
      </c>
      <c r="E249" s="369">
        <f>E251</f>
        <v>0</v>
      </c>
      <c r="F249" s="369">
        <f>F251</f>
        <v>0</v>
      </c>
      <c r="G249" s="369">
        <f>G251</f>
        <v>0</v>
      </c>
      <c r="H249" s="784">
        <f>[1]GASTOS!$D$271</f>
        <v>13325300</v>
      </c>
      <c r="I249" s="784">
        <f>H249-C249</f>
        <v>0</v>
      </c>
      <c r="L249" s="1333"/>
      <c r="M249" s="1333"/>
      <c r="N249" s="1333">
        <f t="shared" si="20"/>
        <v>0</v>
      </c>
      <c r="O249" s="1333"/>
      <c r="P249" s="1333"/>
      <c r="Q249" s="1333"/>
    </row>
    <row r="250" spans="1:17" s="6" customFormat="1">
      <c r="A250" s="363"/>
      <c r="B250" s="403"/>
      <c r="C250" s="370"/>
      <c r="D250" s="370"/>
      <c r="E250" s="370"/>
      <c r="F250" s="370"/>
      <c r="G250" s="370"/>
      <c r="L250" s="1333"/>
      <c r="M250" s="1333"/>
      <c r="N250" s="1333">
        <f t="shared" si="20"/>
        <v>0</v>
      </c>
      <c r="O250" s="1333"/>
      <c r="P250" s="1333"/>
      <c r="Q250" s="1333"/>
    </row>
    <row r="251" spans="1:17" s="6" customFormat="1" ht="24.75">
      <c r="A251" s="355" t="s">
        <v>499</v>
      </c>
      <c r="B251" s="396" t="str">
        <f>VLOOKUP(A251,Catálogo!$B$3:$C$288,2,0)</f>
        <v>TRANSFERENCIAS DE CAPITAL AL SECTOR PÚBLICO</v>
      </c>
      <c r="C251" s="371">
        <f>SUM(C252:C254)</f>
        <v>13325300</v>
      </c>
      <c r="D251" s="371">
        <f>SUM(D252:D254)</f>
        <v>13325300</v>
      </c>
      <c r="E251" s="371">
        <f>SUM(E252:E254)</f>
        <v>0</v>
      </c>
      <c r="F251" s="371">
        <f>SUM(F252:F254)</f>
        <v>0</v>
      </c>
      <c r="G251" s="371">
        <f>SUM(G252:G254)</f>
        <v>0</v>
      </c>
      <c r="L251" s="1333"/>
      <c r="M251" s="1333"/>
      <c r="N251" s="1333">
        <f t="shared" si="20"/>
        <v>0</v>
      </c>
      <c r="O251" s="1333"/>
      <c r="P251" s="1333"/>
      <c r="Q251" s="1333"/>
    </row>
    <row r="252" spans="1:17" s="6" customFormat="1" ht="24.75">
      <c r="A252" s="356" t="s">
        <v>501</v>
      </c>
      <c r="B252" s="430" t="str">
        <f>VLOOKUP(A252,Catálogo!$B$3:$C$288,2,0)</f>
        <v>Transferencias de capital  a Órganos Desconcentrados</v>
      </c>
      <c r="C252" s="370">
        <f>SUM(D252:G252)</f>
        <v>13324500</v>
      </c>
      <c r="D252" s="370">
        <f>[1]GASTOS!F274</f>
        <v>13324500</v>
      </c>
      <c r="E252" s="370">
        <f>[1]GASTOS!T274</f>
        <v>0</v>
      </c>
      <c r="F252" s="370">
        <f>[1]GASTOS!BD274</f>
        <v>0</v>
      </c>
      <c r="G252" s="370">
        <f>[1]GASTOS!CF274</f>
        <v>0</v>
      </c>
      <c r="L252" s="1333"/>
      <c r="M252" s="1333"/>
      <c r="N252" s="1333">
        <f t="shared" si="20"/>
        <v>0</v>
      </c>
      <c r="O252" s="1333">
        <f t="shared" si="21"/>
        <v>13990725</v>
      </c>
      <c r="P252" s="1333">
        <f t="shared" si="22"/>
        <v>14690261.25</v>
      </c>
      <c r="Q252" s="1333">
        <f t="shared" si="23"/>
        <v>15424774.3125</v>
      </c>
    </row>
    <row r="253" spans="1:17" s="6" customFormat="1" ht="24.75">
      <c r="A253" s="356" t="s">
        <v>502</v>
      </c>
      <c r="B253" s="430" t="str">
        <f>VLOOKUP(A253,Catálogo!$B$3:$C$288,2,0)</f>
        <v>Transferencias de capital a Instituciones Descentralizadas no Empresariales</v>
      </c>
      <c r="C253" s="370">
        <f>SUM(D253:G253)</f>
        <v>160</v>
      </c>
      <c r="D253" s="370">
        <f>[1]GASTOS!F277</f>
        <v>160</v>
      </c>
      <c r="E253" s="370">
        <f>[1]GASTOS!T277</f>
        <v>0</v>
      </c>
      <c r="F253" s="370">
        <f>[1]GASTOS!BD277</f>
        <v>0</v>
      </c>
      <c r="G253" s="370">
        <f>[1]GASTOS!CF277</f>
        <v>0</v>
      </c>
      <c r="L253" s="1333"/>
      <c r="M253" s="1333"/>
      <c r="N253" s="1333">
        <f t="shared" si="20"/>
        <v>0</v>
      </c>
      <c r="O253" s="1333">
        <f t="shared" si="21"/>
        <v>168</v>
      </c>
      <c r="P253" s="1333">
        <f t="shared" si="22"/>
        <v>176.4</v>
      </c>
      <c r="Q253" s="1333">
        <f t="shared" si="23"/>
        <v>185.22</v>
      </c>
    </row>
    <row r="254" spans="1:17" s="6" customFormat="1">
      <c r="A254" s="356" t="s">
        <v>503</v>
      </c>
      <c r="B254" s="430" t="str">
        <f>VLOOKUP(A254,Catálogo!$B$3:$C$288,2,0)</f>
        <v xml:space="preserve">Fondos en fideicomiso para gasto de capital </v>
      </c>
      <c r="C254" s="370">
        <f>SUM(D254:G254)</f>
        <v>640</v>
      </c>
      <c r="D254" s="370">
        <f>[1]GASTOS!F280</f>
        <v>640</v>
      </c>
      <c r="E254" s="370">
        <f>[1]GASTOS!T280</f>
        <v>0</v>
      </c>
      <c r="F254" s="370">
        <f>[1]GASTOS!BD280</f>
        <v>0</v>
      </c>
      <c r="G254" s="370">
        <f>[1]GASTOS!CF280</f>
        <v>0</v>
      </c>
      <c r="L254" s="1333"/>
      <c r="M254" s="1333"/>
      <c r="N254" s="1333">
        <f t="shared" si="20"/>
        <v>0</v>
      </c>
      <c r="O254" s="1333">
        <f t="shared" si="21"/>
        <v>672</v>
      </c>
      <c r="P254" s="1333">
        <f t="shared" si="22"/>
        <v>705.6</v>
      </c>
      <c r="Q254" s="1333">
        <f t="shared" si="23"/>
        <v>740.88</v>
      </c>
    </row>
    <row r="255" spans="1:17" s="6" customFormat="1">
      <c r="A255" s="185"/>
      <c r="B255" s="402"/>
      <c r="C255" s="370"/>
      <c r="D255" s="370"/>
      <c r="E255" s="370"/>
      <c r="F255" s="370"/>
      <c r="G255" s="370"/>
      <c r="L255" s="1333"/>
      <c r="M255" s="1333"/>
      <c r="N255" s="1333">
        <f t="shared" si="20"/>
        <v>0</v>
      </c>
      <c r="O255" s="1333"/>
      <c r="P255" s="1333"/>
      <c r="Q255" s="1333"/>
    </row>
    <row r="256" spans="1:17" s="6" customFormat="1">
      <c r="A256" s="185"/>
      <c r="B256" s="395"/>
      <c r="C256" s="370"/>
      <c r="D256" s="370"/>
      <c r="E256" s="370"/>
      <c r="F256" s="370"/>
      <c r="G256" s="370"/>
      <c r="L256" s="1333"/>
      <c r="M256" s="1333"/>
      <c r="N256" s="1333">
        <f t="shared" si="20"/>
        <v>0</v>
      </c>
      <c r="O256" s="1333"/>
      <c r="P256" s="1333"/>
      <c r="Q256" s="1333"/>
    </row>
    <row r="257" spans="1:17" s="13" customFormat="1" ht="18.75">
      <c r="A257" s="353">
        <v>8</v>
      </c>
      <c r="B257" s="687" t="s">
        <v>111</v>
      </c>
      <c r="C257" s="369">
        <f>C259</f>
        <v>103422000</v>
      </c>
      <c r="D257" s="369">
        <f>D259</f>
        <v>37658000</v>
      </c>
      <c r="E257" s="369">
        <f>E259</f>
        <v>64064000</v>
      </c>
      <c r="F257" s="369">
        <f>F259</f>
        <v>1700000</v>
      </c>
      <c r="G257" s="369">
        <f>G259</f>
        <v>0</v>
      </c>
      <c r="H257" s="784">
        <f>[1]GASTOS!$D$284</f>
        <v>103422000</v>
      </c>
      <c r="I257" s="784">
        <f>H257-C257</f>
        <v>0</v>
      </c>
      <c r="L257" s="1333"/>
      <c r="M257" s="1333"/>
      <c r="N257" s="1333">
        <f t="shared" si="20"/>
        <v>0</v>
      </c>
      <c r="O257" s="1333"/>
      <c r="P257" s="1333"/>
      <c r="Q257" s="1333"/>
    </row>
    <row r="258" spans="1:17" s="6" customFormat="1">
      <c r="A258" s="363"/>
      <c r="B258" s="403"/>
      <c r="C258" s="370"/>
      <c r="D258" s="370"/>
      <c r="E258" s="370"/>
      <c r="F258" s="370"/>
      <c r="G258" s="370"/>
      <c r="L258" s="1333"/>
      <c r="M258" s="1333"/>
      <c r="N258" s="1333">
        <f t="shared" si="20"/>
        <v>0</v>
      </c>
      <c r="O258" s="1333"/>
      <c r="P258" s="1333"/>
      <c r="Q258" s="1333"/>
    </row>
    <row r="259" spans="1:17" s="6" customFormat="1">
      <c r="A259" s="355" t="s">
        <v>504</v>
      </c>
      <c r="B259" s="396" t="str">
        <f>VLOOKUP(A259,Catálogo!$B$3:$C$288,2,0)</f>
        <v>AMORTIZACIÓN DE PRÉSTAMOS</v>
      </c>
      <c r="C259" s="371">
        <f>SUM(C260:C263)</f>
        <v>103422000</v>
      </c>
      <c r="D259" s="371">
        <f>SUM(D260:D263)</f>
        <v>37658000</v>
      </c>
      <c r="E259" s="371">
        <f>SUM(E260:E263)</f>
        <v>64064000</v>
      </c>
      <c r="F259" s="371">
        <f>SUM(F260:F263)</f>
        <v>1700000</v>
      </c>
      <c r="G259" s="371">
        <f>SUM(G260:G263)</f>
        <v>0</v>
      </c>
      <c r="L259" s="1333"/>
      <c r="M259" s="1333"/>
      <c r="N259" s="1333">
        <f t="shared" si="20"/>
        <v>0</v>
      </c>
      <c r="O259" s="1333"/>
      <c r="P259" s="1333"/>
      <c r="Q259" s="1333"/>
    </row>
    <row r="260" spans="1:17" s="6" customFormat="1" ht="24.75">
      <c r="A260" s="356" t="s">
        <v>506</v>
      </c>
      <c r="B260" s="430" t="str">
        <f>VLOOKUP(A260,Catálogo!$B$3:$C$288,2,0)</f>
        <v>Amortización de préstamos de Instituciones Descentralizadas no Empresariales</v>
      </c>
      <c r="C260" s="370">
        <f>SUM(D260:G260)</f>
        <v>23391000</v>
      </c>
      <c r="D260" s="370">
        <f>[1]GASTOS!F287</f>
        <v>6098000</v>
      </c>
      <c r="E260" s="370">
        <f>[1]GASTOS!T287</f>
        <v>17293000</v>
      </c>
      <c r="F260" s="370">
        <f>[1]GASTOS!BD287</f>
        <v>0</v>
      </c>
      <c r="G260" s="370">
        <f>[1]GASTOS!CF287</f>
        <v>0</v>
      </c>
      <c r="L260" s="1333"/>
      <c r="M260" s="1333"/>
      <c r="N260" s="1333">
        <f t="shared" si="20"/>
        <v>0</v>
      </c>
      <c r="O260" s="1333">
        <f t="shared" si="21"/>
        <v>24560550</v>
      </c>
      <c r="P260" s="1333">
        <f t="shared" si="22"/>
        <v>25788577.5</v>
      </c>
      <c r="Q260" s="1333">
        <f t="shared" si="23"/>
        <v>27078006.375</v>
      </c>
    </row>
    <row r="261" spans="1:17" s="6" customFormat="1" ht="24.75">
      <c r="A261" s="356" t="s">
        <v>507</v>
      </c>
      <c r="B261" s="430" t="str">
        <f>VLOOKUP(A261,Catálogo!$B$3:$C$288,2,0)</f>
        <v xml:space="preserve">Amortización de préstamos de Instituciones Públicas Financieras </v>
      </c>
      <c r="C261" s="370">
        <f>SUM(D261:G261)</f>
        <v>80031000</v>
      </c>
      <c r="D261" s="370">
        <f>[1]GASTOS!F295</f>
        <v>31560000</v>
      </c>
      <c r="E261" s="370">
        <f>[1]GASTOS!T295</f>
        <v>46771000</v>
      </c>
      <c r="F261" s="370">
        <f>[1]GASTOS!BD295</f>
        <v>1700000</v>
      </c>
      <c r="G261" s="370">
        <f>[1]GASTOS!CF295</f>
        <v>0</v>
      </c>
      <c r="L261" s="1333"/>
      <c r="M261" s="1333"/>
      <c r="N261" s="1333">
        <f t="shared" si="20"/>
        <v>0</v>
      </c>
      <c r="O261" s="1333">
        <f t="shared" si="21"/>
        <v>84032550</v>
      </c>
      <c r="P261" s="1333">
        <f t="shared" si="22"/>
        <v>88234177.5</v>
      </c>
      <c r="Q261" s="1333">
        <f t="shared" si="23"/>
        <v>92645886.375</v>
      </c>
    </row>
    <row r="262" spans="1:17" s="6" customFormat="1" hidden="1">
      <c r="A262" s="356" t="s">
        <v>985</v>
      </c>
      <c r="B262" s="430" t="str">
        <f>VLOOKUP(A262,Catálogo!$B$3:$C$288,2,0)</f>
        <v>Amortización de préstamos del Sector Privado</v>
      </c>
      <c r="C262" s="370">
        <f>SUM(D262:G262)</f>
        <v>0</v>
      </c>
      <c r="D262" s="370">
        <f>[1]GASTOS!F303</f>
        <v>0</v>
      </c>
      <c r="E262" s="370">
        <f>[1]GASTOS!T303</f>
        <v>0</v>
      </c>
      <c r="F262" s="370">
        <f>[1]GASTOS!BD303</f>
        <v>0</v>
      </c>
      <c r="G262" s="370">
        <f>[1]GASTOS!CF303</f>
        <v>0</v>
      </c>
      <c r="L262" s="1333"/>
      <c r="M262" s="1333"/>
      <c r="N262" s="1333">
        <f t="shared" si="20"/>
        <v>0</v>
      </c>
      <c r="O262" s="1333">
        <f t="shared" si="21"/>
        <v>0</v>
      </c>
      <c r="P262" s="1333">
        <f t="shared" si="22"/>
        <v>0</v>
      </c>
      <c r="Q262" s="1333">
        <f t="shared" si="23"/>
        <v>0</v>
      </c>
    </row>
    <row r="263" spans="1:17" s="6" customFormat="1">
      <c r="A263" s="185"/>
      <c r="B263" s="402"/>
      <c r="C263" s="370"/>
      <c r="D263" s="370"/>
      <c r="E263" s="370"/>
      <c r="F263" s="370"/>
      <c r="G263" s="370"/>
      <c r="L263" s="1333"/>
      <c r="M263" s="1333"/>
      <c r="N263" s="1333">
        <f t="shared" si="20"/>
        <v>0</v>
      </c>
      <c r="O263" s="1333"/>
      <c r="P263" s="1333"/>
      <c r="Q263" s="1333"/>
    </row>
    <row r="264" spans="1:17" s="6" customFormat="1">
      <c r="A264" s="185"/>
      <c r="B264" s="402"/>
      <c r="C264" s="370"/>
      <c r="D264" s="370"/>
      <c r="E264" s="370"/>
      <c r="F264" s="370"/>
      <c r="G264" s="370"/>
      <c r="L264" s="1333"/>
      <c r="M264" s="1333"/>
      <c r="N264" s="1333">
        <f t="shared" si="20"/>
        <v>0</v>
      </c>
      <c r="O264" s="1333"/>
      <c r="P264" s="1333"/>
      <c r="Q264" s="1333"/>
    </row>
    <row r="265" spans="1:17" s="13" customFormat="1" ht="18.75">
      <c r="A265" s="353">
        <v>9</v>
      </c>
      <c r="B265" s="687" t="s">
        <v>285</v>
      </c>
      <c r="C265" s="369">
        <f>C267</f>
        <v>54990872</v>
      </c>
      <c r="D265" s="369">
        <f>D267</f>
        <v>3937122</v>
      </c>
      <c r="E265" s="369">
        <f>E267</f>
        <v>6053750</v>
      </c>
      <c r="F265" s="369">
        <f>F267</f>
        <v>45000000</v>
      </c>
      <c r="G265" s="369">
        <f>G267</f>
        <v>0</v>
      </c>
      <c r="H265" s="784">
        <f>[1]GASTOS!$D$306</f>
        <v>54990872</v>
      </c>
      <c r="I265" s="784">
        <f>H265-C265</f>
        <v>0</v>
      </c>
      <c r="L265" s="1333"/>
      <c r="M265" s="1333"/>
      <c r="N265" s="1333">
        <f t="shared" si="20"/>
        <v>0</v>
      </c>
      <c r="O265" s="1333"/>
      <c r="P265" s="1333"/>
      <c r="Q265" s="1333"/>
    </row>
    <row r="266" spans="1:17" s="6" customFormat="1">
      <c r="A266" s="363"/>
      <c r="B266" s="403"/>
      <c r="C266" s="370"/>
      <c r="D266" s="370"/>
      <c r="E266" s="370"/>
      <c r="F266" s="370"/>
      <c r="G266" s="370"/>
      <c r="L266" s="1333"/>
      <c r="M266" s="1333"/>
      <c r="N266" s="1333">
        <f t="shared" si="20"/>
        <v>0</v>
      </c>
      <c r="O266" s="1333"/>
      <c r="P266" s="1333"/>
      <c r="Q266" s="1333"/>
    </row>
    <row r="267" spans="1:17" s="6" customFormat="1">
      <c r="A267" s="355" t="s">
        <v>508</v>
      </c>
      <c r="B267" s="396" t="str">
        <f>VLOOKUP(A267,Catálogo!$B$3:$C$288,2,0)</f>
        <v>SUMAS SIN ASIGNACIÓN PRESUPUESTARIA</v>
      </c>
      <c r="C267" s="371">
        <f>SUM(C268:C269)</f>
        <v>54990872</v>
      </c>
      <c r="D267" s="371">
        <f>SUM(D268:D269)</f>
        <v>3937122</v>
      </c>
      <c r="E267" s="371">
        <f>SUM(E268:E269)</f>
        <v>6053750</v>
      </c>
      <c r="F267" s="371">
        <f>SUM(F268:F269)</f>
        <v>45000000</v>
      </c>
      <c r="G267" s="371">
        <f>SUM(G268:G269)</f>
        <v>0</v>
      </c>
      <c r="L267" s="1333"/>
      <c r="M267" s="1333"/>
      <c r="N267" s="1333">
        <f t="shared" si="20"/>
        <v>0</v>
      </c>
      <c r="O267" s="1333"/>
      <c r="P267" s="1333"/>
      <c r="Q267" s="1333"/>
    </row>
    <row r="268" spans="1:17" s="6" customFormat="1" ht="24.75" hidden="1">
      <c r="A268" s="364" t="s">
        <v>510</v>
      </c>
      <c r="B268" s="430" t="str">
        <f>VLOOKUP(A268,Catálogo!$B$3:$C$288,2,0)</f>
        <v>Sumas con destino específico sin asignación presupuestaria</v>
      </c>
      <c r="C268" s="370">
        <f>SUM(D268:G268)</f>
        <v>0</v>
      </c>
      <c r="D268" s="370">
        <f>[1]GASTOS!F309</f>
        <v>0</v>
      </c>
      <c r="E268" s="370">
        <f>[1]GASTOS!T309</f>
        <v>0</v>
      </c>
      <c r="F268" s="370">
        <f>[1]GASTOS!BD309</f>
        <v>0</v>
      </c>
      <c r="G268" s="370">
        <f>[1]GASTOS!CF309</f>
        <v>0</v>
      </c>
      <c r="L268" s="1333"/>
      <c r="M268" s="1333"/>
      <c r="N268" s="1333">
        <f>SUM(L268:M268)</f>
        <v>0</v>
      </c>
      <c r="O268" s="1333">
        <f>(C268-N268)+(C268-N268)*$O$5</f>
        <v>0</v>
      </c>
      <c r="P268" s="1333">
        <f>O268+O268*$P$5</f>
        <v>0</v>
      </c>
      <c r="Q268" s="1333">
        <f>P268+P268*$Q$5</f>
        <v>0</v>
      </c>
    </row>
    <row r="269" spans="1:17" s="6" customFormat="1" ht="24.75">
      <c r="A269" s="364" t="s">
        <v>510</v>
      </c>
      <c r="B269" s="430" t="str">
        <f>VLOOKUP(A269,Catálogo!$B$3:$C$288,2,0)</f>
        <v>Sumas con destino específico sin asignación presupuestaria</v>
      </c>
      <c r="C269" s="370">
        <f>SUM(D269:G269)</f>
        <v>54990872</v>
      </c>
      <c r="D269" s="370">
        <f>[1]GASTOS!F311</f>
        <v>3937122</v>
      </c>
      <c r="E269" s="370">
        <f>[1]GASTOS!T311</f>
        <v>6053750</v>
      </c>
      <c r="F269" s="370">
        <f>[1]GASTOS!BD311</f>
        <v>45000000</v>
      </c>
      <c r="G269" s="370">
        <f>[1]GASTOS!CF311</f>
        <v>0</v>
      </c>
      <c r="L269" s="1333"/>
      <c r="M269" s="1333"/>
      <c r="N269" s="1333">
        <f>SUM(L269:M269)</f>
        <v>0</v>
      </c>
      <c r="O269" s="1333">
        <f>(C269-N269)+(C269-N269)*$O$5</f>
        <v>57740415.600000001</v>
      </c>
      <c r="P269" s="1333">
        <f>O269+O269*$P$5</f>
        <v>60627436.380000003</v>
      </c>
      <c r="Q269" s="1333">
        <f>P269+P269*$Q$5</f>
        <v>63658808.199000001</v>
      </c>
    </row>
    <row r="270" spans="1:17" s="6" customFormat="1">
      <c r="A270" s="185"/>
      <c r="B270" s="402"/>
      <c r="C270" s="370"/>
      <c r="D270" s="370"/>
      <c r="E270" s="370"/>
      <c r="F270" s="370"/>
      <c r="G270" s="370"/>
      <c r="L270" s="1333"/>
      <c r="M270" s="1333"/>
      <c r="N270" s="1333">
        <f>SUM(L270:M270)</f>
        <v>0</v>
      </c>
      <c r="O270" s="1333"/>
      <c r="P270" s="1333"/>
      <c r="Q270" s="1333"/>
    </row>
    <row r="271" spans="1:17" s="6" customFormat="1">
      <c r="A271" s="185"/>
      <c r="B271" s="402"/>
      <c r="C271" s="370"/>
      <c r="D271" s="370"/>
      <c r="E271" s="370"/>
      <c r="F271" s="370"/>
      <c r="G271" s="370"/>
      <c r="L271" s="1333"/>
      <c r="M271" s="1333"/>
      <c r="N271" s="1333">
        <f>SUM(L271:M271)</f>
        <v>0</v>
      </c>
      <c r="O271" s="1333"/>
      <c r="P271" s="1333"/>
      <c r="Q271" s="1333"/>
    </row>
    <row r="272" spans="1:17" s="6" customFormat="1">
      <c r="A272" s="185"/>
      <c r="B272" s="389"/>
      <c r="C272" s="699"/>
      <c r="D272" s="699"/>
      <c r="E272" s="699"/>
      <c r="F272" s="699"/>
      <c r="G272" s="699"/>
      <c r="L272" s="1333"/>
      <c r="M272" s="1333"/>
      <c r="N272" s="1333">
        <f>SUM(L272:M272)</f>
        <v>0</v>
      </c>
      <c r="O272" s="1333"/>
      <c r="P272" s="1333"/>
      <c r="Q272" s="1333"/>
    </row>
    <row r="273" spans="1:17" s="351" customFormat="1" ht="27" customHeight="1">
      <c r="A273" s="359"/>
      <c r="B273" s="388" t="s">
        <v>63</v>
      </c>
      <c r="C273" s="373">
        <f>C8+C50+C130+C170+C183+C219+C249+C257+C265</f>
        <v>6132696500</v>
      </c>
      <c r="D273" s="373">
        <f>D8+D50+D130+D170+D183+D219+D249+D257+D265</f>
        <v>2011867876.5999999</v>
      </c>
      <c r="E273" s="373">
        <f>E8+E50+E130+E170+E183+E219+E249+E257+E265</f>
        <v>1775465736.4000001</v>
      </c>
      <c r="F273" s="373">
        <f>F8+F50+F130+F170+F183+F219+F249+F257+F265</f>
        <v>2345362887</v>
      </c>
      <c r="G273" s="373">
        <f>G8+G50+G130+G170+G183+G219+G249+G257+G265</f>
        <v>0</v>
      </c>
      <c r="H273" s="13"/>
      <c r="I273" s="13"/>
      <c r="L273" s="373">
        <f>L8+L50+L130+L170+L183+L219+L249+L257+L265</f>
        <v>0</v>
      </c>
      <c r="M273" s="373">
        <f>M8+M50+M130+M170+M183+M219+M249+M257+M265</f>
        <v>0</v>
      </c>
      <c r="N273" s="373">
        <f>N8+N50+N130+N170+N183+N219+N249+N257+N265</f>
        <v>0</v>
      </c>
      <c r="O273" s="373">
        <f>SUM(O8:O272)</f>
        <v>6439331325</v>
      </c>
      <c r="P273" s="373">
        <f>SUM(P8:P272)</f>
        <v>6761297891.25</v>
      </c>
      <c r="Q273" s="373">
        <f>SUM(Q8:Q272)</f>
        <v>7099362785.812501</v>
      </c>
    </row>
    <row r="274" spans="1:17" s="351" customFormat="1" ht="18">
      <c r="A274" s="359"/>
      <c r="B274" s="390"/>
      <c r="C274" s="690">
        <f>SUM(D274:F274)</f>
        <v>1</v>
      </c>
      <c r="D274" s="689">
        <f>D273/$C$273</f>
        <v>0.32805599895576115</v>
      </c>
      <c r="E274" s="689">
        <f>E273/$C$273</f>
        <v>0.28950816926942335</v>
      </c>
      <c r="F274" s="689">
        <f>F273/$C$273</f>
        <v>0.38243583177481555</v>
      </c>
      <c r="G274" s="689">
        <f>G273/$C$273</f>
        <v>0</v>
      </c>
      <c r="H274" s="13"/>
      <c r="I274" s="13"/>
      <c r="L274" s="1341"/>
      <c r="M274" s="1341"/>
      <c r="N274" s="1341"/>
      <c r="O274" s="456">
        <f>(C273-N273)+(C273-N273)*$O$5</f>
        <v>6439331325</v>
      </c>
      <c r="P274" s="456">
        <f>O274+O274*$P$5</f>
        <v>6761297891.25</v>
      </c>
      <c r="Q274" s="456">
        <f>P274+P274*$O$5</f>
        <v>7099362785.8125</v>
      </c>
    </row>
    <row r="275" spans="1:17" s="6" customFormat="1">
      <c r="A275" s="365"/>
      <c r="B275" s="391"/>
      <c r="C275" s="366"/>
      <c r="D275" s="366"/>
      <c r="E275" s="366"/>
      <c r="F275" s="366"/>
      <c r="G275" s="366"/>
      <c r="H275" s="13"/>
      <c r="L275" s="17"/>
      <c r="M275" s="17"/>
      <c r="N275" s="17"/>
      <c r="O275" s="17">
        <f>O273-O274</f>
        <v>0</v>
      </c>
      <c r="P275" s="17">
        <f>P273-P274</f>
        <v>0</v>
      </c>
      <c r="Q275" s="17">
        <f>Q273-Q274</f>
        <v>0</v>
      </c>
    </row>
    <row r="276" spans="1:17" s="6" customFormat="1">
      <c r="A276" s="20"/>
      <c r="B276" s="392"/>
      <c r="C276" s="137"/>
      <c r="D276" s="137"/>
      <c r="E276" s="137"/>
      <c r="F276" s="137"/>
      <c r="G276" s="137"/>
      <c r="I276" s="804"/>
      <c r="L276" s="17"/>
      <c r="M276" s="17"/>
      <c r="N276" s="17"/>
      <c r="O276" s="17"/>
      <c r="P276" s="17"/>
      <c r="Q276" s="17"/>
    </row>
    <row r="277" spans="1:17" s="6" customFormat="1">
      <c r="A277" s="20"/>
      <c r="B277" s="392"/>
      <c r="C277" s="684">
        <f>[1]GASTOS!$D$338</f>
        <v>0</v>
      </c>
      <c r="D277" s="684">
        <f>[1]GASTOS!$F$338</f>
        <v>0</v>
      </c>
      <c r="E277" s="684">
        <f>[1]GASTOS!$T$338</f>
        <v>0</v>
      </c>
      <c r="F277" s="684">
        <f>[1]GASTOS!$BD$338</f>
        <v>0</v>
      </c>
      <c r="G277" s="659">
        <f>G273-'OBJ. GASTO (contraloría)'!H9</f>
        <v>0</v>
      </c>
      <c r="I277" s="784">
        <f>SUM(I6:I276)</f>
        <v>0</v>
      </c>
    </row>
    <row r="278" spans="1:17">
      <c r="C278" s="660">
        <f>C273-C277</f>
        <v>6132696500</v>
      </c>
      <c r="D278" s="660">
        <f>D273-D277</f>
        <v>2011867876.5999999</v>
      </c>
      <c r="E278" s="660">
        <f>E273-E277</f>
        <v>1775465736.4000001</v>
      </c>
      <c r="F278" s="660">
        <f>F273-F277</f>
        <v>2345362887</v>
      </c>
      <c r="G278" s="660">
        <f>G273-G277</f>
        <v>0</v>
      </c>
    </row>
    <row r="279" spans="1:17">
      <c r="C279" s="970">
        <f>C273-INGRESOS!C150</f>
        <v>0</v>
      </c>
    </row>
  </sheetData>
  <sheetProtection password="AC08" sheet="1"/>
  <mergeCells count="2">
    <mergeCell ref="A4:G4"/>
    <mergeCell ref="O6:Q6"/>
  </mergeCells>
  <phoneticPr fontId="0" type="noConversion"/>
  <printOptions horizontalCentered="1"/>
  <pageMargins left="0.86614173228346458" right="0.11811023622047245" top="0.19685039370078741" bottom="0.9055118110236221" header="0.19685039370078741" footer="0.39370078740157483"/>
  <pageSetup scale="80" orientation="portrait" horizontalDpi="360" verticalDpi="360" r:id="rId1"/>
  <headerFooter alignWithMargins="0">
    <oddFooter>&amp;C&amp;"Times New Roman,Negrita"&amp;14Pág.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915E-DEBE-4A90-977F-B0995E395422}">
  <sheetPr codeName="Hoja6"/>
  <dimension ref="A1:I135"/>
  <sheetViews>
    <sheetView workbookViewId="0">
      <pane ySplit="4" topLeftCell="A58" activePane="bottomLeft" state="frozen"/>
      <selection sqref="A1:IV1"/>
      <selection pane="bottomLeft" activeCell="K83" sqref="K83"/>
    </sheetView>
  </sheetViews>
  <sheetFormatPr defaultRowHeight="18.75"/>
  <cols>
    <col min="1" max="1" width="8.875" customWidth="1"/>
    <col min="2" max="2" width="46.75" customWidth="1"/>
    <col min="3" max="3" width="19.5" customWidth="1"/>
    <col min="4" max="4" width="8.375" style="182" customWidth="1"/>
    <col min="5" max="5" width="15.625" style="801" hidden="1" customWidth="1"/>
    <col min="6" max="6" width="16.375" style="695" hidden="1" customWidth="1"/>
    <col min="7" max="8" width="0" hidden="1" customWidth="1"/>
    <col min="9" max="9" width="0" style="873" hidden="1" customWidth="1"/>
    <col min="10" max="256" width="11" customWidth="1"/>
  </cols>
  <sheetData>
    <row r="1" spans="1:9" s="563" customFormat="1" ht="26.25" thickBot="1">
      <c r="A1" s="561" t="s">
        <v>32</v>
      </c>
      <c r="B1" s="561"/>
      <c r="C1" s="579"/>
      <c r="D1" s="578" t="str">
        <f>INGRESOS!D1</f>
        <v>Presupuesto Ordinario 2013</v>
      </c>
      <c r="E1" s="1022" t="s">
        <v>621</v>
      </c>
      <c r="F1" s="785" t="s">
        <v>120</v>
      </c>
      <c r="I1" s="872"/>
    </row>
    <row r="2" spans="1:9" s="6" customFormat="1">
      <c r="C2" s="29"/>
      <c r="D2" s="136"/>
      <c r="E2" s="801"/>
      <c r="F2" s="695"/>
      <c r="I2" s="873"/>
    </row>
    <row r="3" spans="1:9" s="6" customFormat="1">
      <c r="C3" s="29"/>
      <c r="D3" s="136"/>
      <c r="E3" s="995" t="s">
        <v>1327</v>
      </c>
      <c r="F3" s="994"/>
      <c r="I3" s="873"/>
    </row>
    <row r="4" spans="1:9" s="6" customFormat="1">
      <c r="A4" s="1368" t="s">
        <v>576</v>
      </c>
      <c r="B4" s="1368"/>
      <c r="C4" s="1368"/>
      <c r="D4" s="1368"/>
      <c r="E4" s="801"/>
      <c r="F4" s="695"/>
      <c r="I4" s="873"/>
    </row>
    <row r="5" spans="1:9" s="6" customFormat="1">
      <c r="A5" s="98"/>
      <c r="B5" s="98"/>
      <c r="C5" s="98"/>
      <c r="D5" s="98"/>
      <c r="E5" s="801"/>
      <c r="F5" s="695"/>
      <c r="I5" s="873"/>
    </row>
    <row r="6" spans="1:9" s="6" customFormat="1" ht="28.5" customHeight="1">
      <c r="A6" s="1369" t="s">
        <v>289</v>
      </c>
      <c r="B6" s="1369"/>
      <c r="C6" s="1369"/>
      <c r="D6" s="1369"/>
      <c r="E6" s="801"/>
      <c r="F6" s="695"/>
      <c r="I6" s="873"/>
    </row>
    <row r="7" spans="1:9" s="6" customFormat="1" ht="28.5" customHeight="1">
      <c r="A7" s="1365" t="s">
        <v>617</v>
      </c>
      <c r="B7" s="1365"/>
      <c r="C7" s="1365"/>
      <c r="D7" s="1365"/>
      <c r="E7" s="801"/>
      <c r="F7" s="695"/>
      <c r="I7" s="873"/>
    </row>
    <row r="8" spans="1:9" s="6" customFormat="1" ht="30" customHeight="1" thickBot="1">
      <c r="B8" s="15"/>
      <c r="C8" s="14"/>
      <c r="D8" s="136"/>
      <c r="E8" s="801"/>
      <c r="F8" s="695"/>
      <c r="I8" s="873"/>
    </row>
    <row r="9" spans="1:9" s="22" customFormat="1" ht="27.75" customHeight="1" thickBot="1">
      <c r="A9" s="1366" t="s">
        <v>286</v>
      </c>
      <c r="B9" s="1367"/>
      <c r="C9" s="799">
        <f>SUM(C10:C14)</f>
        <v>2011867876.5999999</v>
      </c>
      <c r="D9" s="800">
        <f>SUM(D10:D13)</f>
        <v>100</v>
      </c>
      <c r="E9" s="802">
        <f>[1]GASTOS!$F$339</f>
        <v>2011867876.5999999</v>
      </c>
      <c r="F9" s="802">
        <f>C9-E9</f>
        <v>0</v>
      </c>
      <c r="I9" s="874"/>
    </row>
    <row r="10" spans="1:9" ht="33" customHeight="1">
      <c r="A10" s="344">
        <v>1</v>
      </c>
      <c r="B10" s="344" t="s">
        <v>294</v>
      </c>
      <c r="C10" s="330">
        <f>[1]GASTOS!$G$339</f>
        <v>1432625796.5999999</v>
      </c>
      <c r="D10" s="330">
        <f>C10/$C$9*100</f>
        <v>71.208741551214445</v>
      </c>
      <c r="E10" s="784"/>
    </row>
    <row r="11" spans="1:9" ht="33" customHeight="1">
      <c r="A11" s="345">
        <v>2</v>
      </c>
      <c r="B11" s="345" t="s">
        <v>591</v>
      </c>
      <c r="C11" s="333">
        <f>[1]GASTOS!$M$339</f>
        <v>90044222</v>
      </c>
      <c r="D11" s="333">
        <f>C11/$C$9*100</f>
        <v>4.4756528521232815</v>
      </c>
    </row>
    <row r="12" spans="1:9" ht="33" customHeight="1">
      <c r="A12" s="345">
        <v>3</v>
      </c>
      <c r="B12" s="345" t="s">
        <v>611</v>
      </c>
      <c r="C12" s="333">
        <f>[1]GASTOS!$N$339</f>
        <v>71059895</v>
      </c>
      <c r="D12" s="333">
        <f>C12/$C$9*100</f>
        <v>3.5320358670912935</v>
      </c>
    </row>
    <row r="13" spans="1:9" ht="33" customHeight="1">
      <c r="A13" s="345">
        <v>4</v>
      </c>
      <c r="B13" s="345" t="s">
        <v>592</v>
      </c>
      <c r="C13" s="333">
        <f>[1]GASTOS!$R$339</f>
        <v>418137963</v>
      </c>
      <c r="D13" s="333">
        <f>C13/$C$9*100</f>
        <v>20.783569729570981</v>
      </c>
    </row>
    <row r="14" spans="1:9" ht="18" customHeight="1">
      <c r="A14" s="346"/>
      <c r="B14" s="346"/>
      <c r="C14" s="336"/>
      <c r="D14" s="336"/>
    </row>
    <row r="15" spans="1:9" ht="18.75" customHeight="1">
      <c r="C15" s="19"/>
      <c r="D15"/>
    </row>
    <row r="16" spans="1:9">
      <c r="A16" s="1368" t="s">
        <v>1092</v>
      </c>
      <c r="B16" s="1365"/>
      <c r="C16" s="1365"/>
      <c r="D16" s="1365"/>
    </row>
    <row r="17" spans="1:9">
      <c r="A17" s="1365" t="s">
        <v>1093</v>
      </c>
      <c r="B17" s="1365"/>
      <c r="C17" s="1365"/>
      <c r="D17" s="1365"/>
    </row>
    <row r="18" spans="1:9" ht="27.75" customHeight="1">
      <c r="D18"/>
    </row>
    <row r="19" spans="1:9" ht="19.5" thickBot="1">
      <c r="D19"/>
    </row>
    <row r="20" spans="1:9" s="22" customFormat="1" ht="23.25" customHeight="1" thickBot="1">
      <c r="A20" s="1366" t="s">
        <v>287</v>
      </c>
      <c r="B20" s="1367"/>
      <c r="C20" s="799">
        <f>SUM(C21:C38)</f>
        <v>1775465736.4000001</v>
      </c>
      <c r="D20" s="800">
        <f>SUM(D21:D38)</f>
        <v>99.999999999999986</v>
      </c>
      <c r="E20" s="802">
        <f>[1]GASTOS!$T$339</f>
        <v>1775465736.4000001</v>
      </c>
      <c r="F20" s="802">
        <f>C20-E20</f>
        <v>0</v>
      </c>
      <c r="I20" s="874"/>
    </row>
    <row r="21" spans="1:9">
      <c r="A21" s="329"/>
      <c r="B21" s="329"/>
      <c r="C21" s="330"/>
      <c r="D21" s="330"/>
    </row>
    <row r="22" spans="1:9" ht="26.25" customHeight="1">
      <c r="A22" s="331">
        <v>1</v>
      </c>
      <c r="B22" s="332" t="s">
        <v>594</v>
      </c>
      <c r="C22" s="333">
        <f>[1]GASTOS!$U$339</f>
        <v>69122155</v>
      </c>
      <c r="D22" s="333">
        <f t="shared" ref="D22:D37" si="0">C22/$C$20*100</f>
        <v>3.8931843956704362</v>
      </c>
    </row>
    <row r="23" spans="1:9" ht="26.25" customHeight="1">
      <c r="A23" s="331">
        <v>2</v>
      </c>
      <c r="B23" s="332" t="s">
        <v>595</v>
      </c>
      <c r="C23" s="333">
        <f>[1]GASTOS!$V$339</f>
        <v>274807350</v>
      </c>
      <c r="D23" s="333">
        <f t="shared" si="0"/>
        <v>15.478042992663408</v>
      </c>
    </row>
    <row r="24" spans="1:9" ht="26.25" customHeight="1">
      <c r="A24" s="331">
        <v>3</v>
      </c>
      <c r="B24" s="332" t="s">
        <v>596</v>
      </c>
      <c r="C24" s="333">
        <f>[1]GASTOS!$W$339</f>
        <v>38815154</v>
      </c>
      <c r="D24" s="333">
        <f t="shared" si="0"/>
        <v>2.1861956107755165</v>
      </c>
    </row>
    <row r="25" spans="1:9" ht="26.25" customHeight="1">
      <c r="A25" s="331">
        <v>4</v>
      </c>
      <c r="B25" s="332" t="s">
        <v>597</v>
      </c>
      <c r="C25" s="333">
        <f>[1]GASTOS!$X$339</f>
        <v>62707500</v>
      </c>
      <c r="D25" s="333">
        <f t="shared" si="0"/>
        <v>3.5318901803843339</v>
      </c>
    </row>
    <row r="26" spans="1:9" ht="26.25" customHeight="1">
      <c r="A26" s="331">
        <v>5</v>
      </c>
      <c r="B26" s="332" t="s">
        <v>649</v>
      </c>
      <c r="C26" s="333">
        <f>[1]GASTOS!$Y$339</f>
        <v>11236078</v>
      </c>
      <c r="D26" s="333">
        <f t="shared" si="0"/>
        <v>0.63285242681070752</v>
      </c>
    </row>
    <row r="27" spans="1:9" ht="26.25" customHeight="1">
      <c r="A27" s="331">
        <v>7</v>
      </c>
      <c r="B27" s="332" t="s">
        <v>598</v>
      </c>
      <c r="C27" s="333">
        <f>[1]GASTOS!$Z$340</f>
        <v>118896970</v>
      </c>
      <c r="D27" s="333">
        <f t="shared" si="0"/>
        <v>6.6966637295451212</v>
      </c>
    </row>
    <row r="28" spans="1:9" ht="26.25" hidden="1" customHeight="1">
      <c r="A28" s="331">
        <v>8</v>
      </c>
      <c r="B28" s="332" t="s">
        <v>599</v>
      </c>
      <c r="C28" s="333">
        <f>[1]GASTOS!$AB$339</f>
        <v>0</v>
      </c>
      <c r="D28" s="333">
        <f t="shared" si="0"/>
        <v>0</v>
      </c>
    </row>
    <row r="29" spans="1:9" ht="26.25" customHeight="1">
      <c r="A29" s="331">
        <v>9</v>
      </c>
      <c r="B29" s="332" t="s">
        <v>600</v>
      </c>
      <c r="C29" s="333">
        <f>[1]GASTOS!$AC$340</f>
        <v>191324239</v>
      </c>
      <c r="D29" s="333">
        <f t="shared" si="0"/>
        <v>10.776002886315119</v>
      </c>
    </row>
    <row r="30" spans="1:9" ht="26.25" customHeight="1">
      <c r="A30" s="331">
        <v>10</v>
      </c>
      <c r="B30" s="332" t="s">
        <v>601</v>
      </c>
      <c r="C30" s="333">
        <f>[1]GASTOS!$AJ$340</f>
        <v>58846322</v>
      </c>
      <c r="D30" s="333">
        <f t="shared" si="0"/>
        <v>3.3144160877651729</v>
      </c>
    </row>
    <row r="31" spans="1:9" ht="26.25" customHeight="1">
      <c r="A31" s="331">
        <v>11</v>
      </c>
      <c r="B31" s="332" t="s">
        <v>602</v>
      </c>
      <c r="C31" s="333">
        <f>[1]GASTOS!$AQ$340</f>
        <v>120320215</v>
      </c>
      <c r="D31" s="333">
        <f t="shared" si="0"/>
        <v>6.7768255130603485</v>
      </c>
    </row>
    <row r="32" spans="1:9" ht="26.25" customHeight="1">
      <c r="A32" s="331">
        <v>16</v>
      </c>
      <c r="B32" s="332" t="s">
        <v>650</v>
      </c>
      <c r="C32" s="333">
        <f>[1]GASTOS!$AS$339</f>
        <v>469087191.39999998</v>
      </c>
      <c r="D32" s="333">
        <f t="shared" si="0"/>
        <v>26.420515010959239</v>
      </c>
    </row>
    <row r="33" spans="1:9" ht="26.25" customHeight="1">
      <c r="A33" s="331">
        <v>17</v>
      </c>
      <c r="B33" s="332" t="s">
        <v>603</v>
      </c>
      <c r="C33" s="333">
        <f>[1]GASTOS!$AT$339</f>
        <v>97988282</v>
      </c>
      <c r="D33" s="333">
        <f t="shared" si="0"/>
        <v>5.519018474481217</v>
      </c>
    </row>
    <row r="34" spans="1:9" ht="26.25" customHeight="1">
      <c r="A34" s="331">
        <v>22</v>
      </c>
      <c r="B34" s="332" t="s">
        <v>604</v>
      </c>
      <c r="C34" s="333">
        <f>[1]GASTOS!$AU$340</f>
        <v>60036830</v>
      </c>
      <c r="D34" s="333">
        <f t="shared" si="0"/>
        <v>3.3814693671156331</v>
      </c>
      <c r="E34" s="802"/>
      <c r="F34" s="802"/>
    </row>
    <row r="35" spans="1:9" ht="26.25" customHeight="1">
      <c r="A35" s="331">
        <v>25</v>
      </c>
      <c r="B35" s="332" t="s">
        <v>530</v>
      </c>
      <c r="C35" s="333">
        <f>[1]GASTOS!$AW$340</f>
        <v>44844389</v>
      </c>
      <c r="D35" s="333">
        <f t="shared" si="0"/>
        <v>2.5257817191633412</v>
      </c>
    </row>
    <row r="36" spans="1:9" ht="26.25" customHeight="1">
      <c r="A36" s="331">
        <v>28</v>
      </c>
      <c r="B36" s="332" t="s">
        <v>605</v>
      </c>
      <c r="C36" s="333">
        <f>[1]GASTOS!$AZ$340</f>
        <v>27433061</v>
      </c>
      <c r="D36" s="333">
        <f t="shared" si="0"/>
        <v>1.5451191446602788</v>
      </c>
    </row>
    <row r="37" spans="1:9" ht="42" customHeight="1">
      <c r="A37" s="334">
        <v>31</v>
      </c>
      <c r="B37" s="332" t="s">
        <v>606</v>
      </c>
      <c r="C37" s="333">
        <f>[1]GASTOS!$BB$339</f>
        <v>130000000</v>
      </c>
      <c r="D37" s="333">
        <f t="shared" si="0"/>
        <v>7.3220224606301221</v>
      </c>
    </row>
    <row r="38" spans="1:9">
      <c r="A38" s="335"/>
      <c r="B38" s="335"/>
      <c r="C38" s="336"/>
      <c r="D38" s="336"/>
    </row>
    <row r="39" spans="1:9">
      <c r="C39" s="123"/>
      <c r="D39"/>
    </row>
    <row r="40" spans="1:9">
      <c r="D40"/>
    </row>
    <row r="41" spans="1:9" ht="10.5" customHeight="1">
      <c r="D41"/>
    </row>
    <row r="42" spans="1:9">
      <c r="A42" s="1368" t="s">
        <v>1094</v>
      </c>
      <c r="B42" s="1365"/>
      <c r="C42" s="1365"/>
      <c r="D42" s="1365"/>
    </row>
    <row r="43" spans="1:9">
      <c r="A43" s="1365" t="s">
        <v>652</v>
      </c>
      <c r="B43" s="1365"/>
      <c r="C43" s="1365"/>
      <c r="D43" s="1365"/>
    </row>
    <row r="44" spans="1:9">
      <c r="D44"/>
    </row>
    <row r="45" spans="1:9" ht="19.5" thickBot="1">
      <c r="D45"/>
    </row>
    <row r="46" spans="1:9" s="22" customFormat="1" ht="23.25" customHeight="1" thickBot="1">
      <c r="A46" s="1366" t="s">
        <v>288</v>
      </c>
      <c r="B46" s="1367"/>
      <c r="C46" s="799">
        <f>C49+C88+C78+C55+C66</f>
        <v>2345362887</v>
      </c>
      <c r="D46" s="800">
        <f>D49+D88+D78+D55+D66</f>
        <v>100.00000000000001</v>
      </c>
      <c r="E46" s="802">
        <f>[1]GASTOS!$BD$339</f>
        <v>2345362887</v>
      </c>
      <c r="F46" s="802">
        <f>C46-E46</f>
        <v>0</v>
      </c>
      <c r="I46" s="874"/>
    </row>
    <row r="47" spans="1:9" ht="14.25" customHeight="1">
      <c r="A47" s="329"/>
      <c r="B47" s="329"/>
      <c r="C47" s="330"/>
      <c r="D47" s="330"/>
    </row>
    <row r="48" spans="1:9" hidden="1">
      <c r="A48" s="331"/>
      <c r="B48" s="337"/>
      <c r="C48" s="333"/>
      <c r="D48" s="333"/>
    </row>
    <row r="49" spans="1:6" ht="22.5">
      <c r="A49" s="338">
        <v>1</v>
      </c>
      <c r="B49" s="339" t="s">
        <v>1176</v>
      </c>
      <c r="C49" s="340">
        <f>SUM(C50:C52)</f>
        <v>160000000</v>
      </c>
      <c r="D49" s="340">
        <f>SUM(D50:D52)</f>
        <v>6.821972023470499</v>
      </c>
      <c r="E49" s="802">
        <f>[1]GASTOS!$BE$340</f>
        <v>160000000</v>
      </c>
      <c r="F49" s="802">
        <f>C49-E49</f>
        <v>0</v>
      </c>
    </row>
    <row r="50" spans="1:6" ht="36.75" customHeight="1">
      <c r="A50" s="663">
        <f>[1]GASTOS!$BE$5</f>
        <v>1</v>
      </c>
      <c r="B50" s="661" t="str">
        <f>[1]GASTOS!$BE$6</f>
        <v>Construcción Centro de Cuido y Desarrollo Infantil (FODESAF)</v>
      </c>
      <c r="C50" s="333">
        <f>[1]GASTOS!$BE$339</f>
        <v>160000000</v>
      </c>
      <c r="D50" s="286">
        <f>C50/$C$46*100</f>
        <v>6.821972023470499</v>
      </c>
    </row>
    <row r="51" spans="1:6" hidden="1">
      <c r="A51" s="663">
        <f>[1]GASTOS!$BF$5</f>
        <v>2</v>
      </c>
      <c r="B51" s="661" t="str">
        <f>[1]GASTOS!$BF$6</f>
        <v>xxx 2</v>
      </c>
      <c r="C51" s="333">
        <f>[1]GASTOS!$BF$338</f>
        <v>0</v>
      </c>
      <c r="D51" s="286">
        <f>C51/$C$46*100</f>
        <v>0</v>
      </c>
    </row>
    <row r="52" spans="1:6" hidden="1">
      <c r="A52" s="341"/>
      <c r="B52" s="337"/>
      <c r="C52" s="333"/>
      <c r="D52" s="286"/>
    </row>
    <row r="53" spans="1:6">
      <c r="A53" s="341"/>
      <c r="B53" s="337"/>
      <c r="C53" s="333"/>
      <c r="D53" s="286"/>
    </row>
    <row r="54" spans="1:6" ht="18.75" customHeight="1">
      <c r="A54" s="331"/>
      <c r="B54" s="337"/>
      <c r="C54" s="333"/>
      <c r="D54" s="286"/>
    </row>
    <row r="55" spans="1:6" ht="22.5">
      <c r="A55" s="338">
        <v>2</v>
      </c>
      <c r="B55" s="339" t="s">
        <v>607</v>
      </c>
      <c r="C55" s="340">
        <f>SUM(C56:C64)</f>
        <v>1086343889</v>
      </c>
      <c r="D55" s="340">
        <f>SUM(D56:D64)</f>
        <v>46.318797616413391</v>
      </c>
      <c r="E55" s="802">
        <f>[1]GASTOS!$BH$340</f>
        <v>1086343889</v>
      </c>
      <c r="F55" s="802">
        <f>C55-E55</f>
        <v>0</v>
      </c>
    </row>
    <row r="56" spans="1:6">
      <c r="A56" s="663">
        <f>[1]GASTOS!$BH$5</f>
        <v>1</v>
      </c>
      <c r="B56" s="661" t="str">
        <f>[1]GASTOS!$BH$6</f>
        <v>Unidad técnica de gestión vial municipal, L8114.</v>
      </c>
      <c r="C56" s="333">
        <f>[1]GASTOS!$BH$339</f>
        <v>524686939</v>
      </c>
      <c r="D56" s="286">
        <f t="shared" ref="D56:D62" si="1">C56/$C$46*100</f>
        <v>22.371247618364826</v>
      </c>
    </row>
    <row r="57" spans="1:6">
      <c r="A57" s="663">
        <f>[1]GASTOS!$BI$5</f>
        <v>2</v>
      </c>
      <c r="B57" s="337" t="str">
        <f>[1]GASTOS!$BI$6</f>
        <v>Bacheo mecanizado en los distritos del Cantón, L.8114.</v>
      </c>
      <c r="C57" s="333">
        <f>[1]GASTOS!$BI$339</f>
        <v>406080000</v>
      </c>
      <c r="D57" s="286">
        <f t="shared" si="1"/>
        <v>17.314164995568124</v>
      </c>
    </row>
    <row r="58" spans="1:6" ht="32.25">
      <c r="A58" s="663">
        <f>[1]GASTOS!$BJ$5</f>
        <v>3</v>
      </c>
      <c r="B58" s="337" t="str">
        <f>[1]GASTOS!$BJ$6</f>
        <v>Sistemas de Drenaje y Puentes en distritos del cantón, L.8114.</v>
      </c>
      <c r="C58" s="333">
        <f>[1]GASTOS!$BJ$339</f>
        <v>34800000</v>
      </c>
      <c r="D58" s="286">
        <f t="shared" si="1"/>
        <v>1.4837789151048335</v>
      </c>
    </row>
    <row r="59" spans="1:6" ht="32.25">
      <c r="A59" s="663">
        <f>[1]GASTOS!$BK$5</f>
        <v>4</v>
      </c>
      <c r="B59" s="337" t="str">
        <f>[1]GASTOS!$BK$6</f>
        <v>Conservación y Mejoramiento de Superficies de Ruedo en los distritos del cantón, L.8114.</v>
      </c>
      <c r="C59" s="333">
        <f>[1]GASTOS!$BK$339</f>
        <v>72000000</v>
      </c>
      <c r="D59" s="286">
        <f t="shared" si="1"/>
        <v>3.0698874105617242</v>
      </c>
    </row>
    <row r="60" spans="1:6">
      <c r="A60" s="663">
        <f>[1]GASTOS!$BL$5</f>
        <v>5</v>
      </c>
      <c r="B60" s="662" t="str">
        <f>[1]GASTOS!$BL$6</f>
        <v>Construcción Aceras, atención L.7600 (rec. propios)</v>
      </c>
      <c r="C60" s="333">
        <f>[1]GASTOS!$BL$339</f>
        <v>15000000</v>
      </c>
      <c r="D60" s="286">
        <f t="shared" si="1"/>
        <v>0.63955987720035923</v>
      </c>
    </row>
    <row r="61" spans="1:6">
      <c r="A61" s="663">
        <f>[1]GASTOS!$BM$5</f>
        <v>6</v>
      </c>
      <c r="B61" s="662" t="str">
        <f>[1]GASTOS!$BM$6</f>
        <v>Mejoramiento Infraestructura Vial de Pérez Zeledón</v>
      </c>
      <c r="C61" s="333">
        <f>[1]GASTOS!$BM$339</f>
        <v>33776950</v>
      </c>
      <c r="D61" s="286">
        <f t="shared" si="1"/>
        <v>1.4401587996135117</v>
      </c>
    </row>
    <row r="62" spans="1:6" hidden="1">
      <c r="A62" s="663">
        <f>[1]GASTOS!$BN$5</f>
        <v>7</v>
      </c>
      <c r="B62" s="662" t="str">
        <f>[1]GASTOS!$BN$6</f>
        <v>xxxx 7</v>
      </c>
      <c r="C62" s="333">
        <f>[1]GASTOS!$BN$339</f>
        <v>0</v>
      </c>
      <c r="D62" s="286">
        <f t="shared" si="1"/>
        <v>0</v>
      </c>
    </row>
    <row r="63" spans="1:6" hidden="1">
      <c r="A63" s="331"/>
      <c r="B63" s="337"/>
      <c r="C63" s="333"/>
      <c r="D63" s="286"/>
    </row>
    <row r="64" spans="1:6" hidden="1">
      <c r="A64" s="331"/>
      <c r="B64" s="337"/>
      <c r="C64" s="333"/>
      <c r="D64" s="333"/>
    </row>
    <row r="65" spans="1:6" hidden="1">
      <c r="A65" s="331"/>
      <c r="B65" s="337"/>
      <c r="C65" s="333"/>
      <c r="D65" s="333"/>
    </row>
    <row r="66" spans="1:6" ht="22.5" hidden="1">
      <c r="A66" s="338">
        <v>4</v>
      </c>
      <c r="B66" s="339" t="s">
        <v>1011</v>
      </c>
      <c r="C66" s="340">
        <f>SUM(C67:C69)</f>
        <v>0</v>
      </c>
      <c r="D66" s="340">
        <f>SUM(D67:D68)</f>
        <v>0</v>
      </c>
      <c r="E66" s="802">
        <f>[1]GASTOS!$BP$339</f>
        <v>0</v>
      </c>
      <c r="F66" s="802">
        <f>C66-E66</f>
        <v>0</v>
      </c>
    </row>
    <row r="67" spans="1:6" hidden="1">
      <c r="A67" s="663">
        <f>[1]GASTOS!$BP$5</f>
        <v>1</v>
      </c>
      <c r="B67" s="661" t="str">
        <f>[1]GASTOS!$BP$6</f>
        <v>xxxx 1</v>
      </c>
      <c r="C67" s="333">
        <f>[1]GASTOS!$BP$339</f>
        <v>0</v>
      </c>
      <c r="D67" s="286">
        <f>C67/$C$46*100</f>
        <v>0</v>
      </c>
    </row>
    <row r="68" spans="1:6" ht="18.75" hidden="1" customHeight="1">
      <c r="A68" s="663">
        <f>[1]GASTOS!$BQ$5</f>
        <v>2</v>
      </c>
      <c r="B68" s="662" t="str">
        <f>[1]GASTOS!$BQ$6</f>
        <v>xxxx 2</v>
      </c>
      <c r="C68" s="333">
        <f>[1]GASTOS!$BQ$339</f>
        <v>0</v>
      </c>
      <c r="D68" s="286">
        <f>C68/$C$46*100</f>
        <v>0</v>
      </c>
    </row>
    <row r="69" spans="1:6" hidden="1">
      <c r="A69" s="331"/>
      <c r="B69" s="337"/>
      <c r="C69" s="333"/>
      <c r="D69" s="333"/>
    </row>
    <row r="70" spans="1:6" hidden="1">
      <c r="A70" s="331"/>
      <c r="B70" s="337"/>
      <c r="C70" s="333"/>
      <c r="D70" s="333"/>
    </row>
    <row r="71" spans="1:6" hidden="1">
      <c r="A71" s="331"/>
      <c r="B71" s="337"/>
      <c r="C71" s="333"/>
      <c r="D71" s="333"/>
    </row>
    <row r="72" spans="1:6" ht="22.5" hidden="1">
      <c r="A72" s="338">
        <v>5</v>
      </c>
      <c r="B72" s="339" t="s">
        <v>1177</v>
      </c>
      <c r="C72" s="340">
        <f>SUM(C73:C75)</f>
        <v>0</v>
      </c>
      <c r="D72" s="340">
        <f>SUM(D73:D74)</f>
        <v>0</v>
      </c>
      <c r="E72" s="802">
        <f>[1]GASTOS!$BS$339</f>
        <v>0</v>
      </c>
      <c r="F72" s="802">
        <f>C72-E72</f>
        <v>0</v>
      </c>
    </row>
    <row r="73" spans="1:6" hidden="1">
      <c r="A73" s="663" t="str">
        <f>[1]GASTOS!$BS$5</f>
        <v>1</v>
      </c>
      <c r="B73" s="661" t="str">
        <f>[1]GASTOS!$BS$6</f>
        <v>xxxx 1</v>
      </c>
      <c r="C73" s="333">
        <f>[1]GASTOS!$BS$339</f>
        <v>0</v>
      </c>
      <c r="D73" s="286">
        <f>C73/$C$46*100</f>
        <v>0</v>
      </c>
    </row>
    <row r="74" spans="1:6" ht="18.75" hidden="1" customHeight="1">
      <c r="A74" s="663">
        <f>[1]GASTOS!$BT$5</f>
        <v>2</v>
      </c>
      <c r="B74" s="662" t="str">
        <f>[1]GASTOS!$BT$6</f>
        <v>xxxx 2</v>
      </c>
      <c r="C74" s="333">
        <f>[1]GASTOS!$BT$339</f>
        <v>0</v>
      </c>
      <c r="D74" s="286">
        <f>C74/$C$46*100</f>
        <v>0</v>
      </c>
    </row>
    <row r="75" spans="1:6" hidden="1">
      <c r="A75" s="331"/>
      <c r="B75" s="337"/>
      <c r="C75" s="333"/>
      <c r="D75" s="333"/>
    </row>
    <row r="76" spans="1:6">
      <c r="A76" s="331"/>
      <c r="B76" s="337"/>
      <c r="C76" s="333"/>
      <c r="D76" s="333"/>
    </row>
    <row r="77" spans="1:6">
      <c r="A77" s="331"/>
      <c r="B77" s="337"/>
      <c r="C77" s="333"/>
      <c r="D77" s="333"/>
    </row>
    <row r="78" spans="1:6" ht="22.5">
      <c r="A78" s="338">
        <v>6</v>
      </c>
      <c r="B78" s="339" t="s">
        <v>608</v>
      </c>
      <c r="C78" s="340">
        <f>SUM(C79:C86)</f>
        <v>1099018998</v>
      </c>
      <c r="D78" s="340">
        <f>SUM(D79:D86)</f>
        <v>46.859230360116122</v>
      </c>
      <c r="E78" s="802">
        <f>[1]GASTOS!$BV$340</f>
        <v>1099018998</v>
      </c>
      <c r="F78" s="802">
        <f>C78-E78</f>
        <v>0</v>
      </c>
    </row>
    <row r="79" spans="1:6">
      <c r="A79" s="664" t="str">
        <f>[1]GASTOS!$BV$5</f>
        <v>1</v>
      </c>
      <c r="B79" s="661" t="str">
        <f>[1]GASTOS!$BV$6</f>
        <v>Dirección Técnica y Estudios</v>
      </c>
      <c r="C79" s="333">
        <f>[1]GASTOS!$BV$339</f>
        <v>93118998</v>
      </c>
      <c r="D79" s="286">
        <f t="shared" ref="D79:D85" si="2">C79/$C$46*100</f>
        <v>3.9703449950600329</v>
      </c>
    </row>
    <row r="80" spans="1:6">
      <c r="A80" s="665">
        <f>[1]GASTOS!$BW$5</f>
        <v>2</v>
      </c>
      <c r="B80" s="666" t="str">
        <f>[1]GASTOS!$BW$6</f>
        <v>Cierre Técnico Vertedero Municipal (rec. Propios)</v>
      </c>
      <c r="C80" s="333">
        <f>[1]GASTOS!$BW$339</f>
        <v>50000000</v>
      </c>
      <c r="D80" s="286">
        <f t="shared" si="2"/>
        <v>2.1318662573345306</v>
      </c>
    </row>
    <row r="81" spans="1:9">
      <c r="A81" s="665">
        <f>[1]GASTOS!$BX$5</f>
        <v>3</v>
      </c>
      <c r="B81" s="337" t="str">
        <f>[1]GASTOS!$BX$6</f>
        <v>Instalación cámaras de vigilancia en el Cantón.</v>
      </c>
      <c r="C81" s="333">
        <f>[1]GASTOS!$BX$339</f>
        <v>45000000</v>
      </c>
      <c r="D81" s="286">
        <f t="shared" si="2"/>
        <v>1.9186796316010775</v>
      </c>
    </row>
    <row r="82" spans="1:9">
      <c r="A82" s="665">
        <f>[1]GASTOS!$BY$5</f>
        <v>4</v>
      </c>
      <c r="B82" s="337" t="str">
        <f>[1]GASTOS!$BY$6</f>
        <v>Construcción Relleno Sanitario (prést. IFAM)</v>
      </c>
      <c r="C82" s="333">
        <f>[1]GASTOS!$BY$339</f>
        <v>900900000</v>
      </c>
      <c r="D82" s="286">
        <f t="shared" si="2"/>
        <v>38.411966224653575</v>
      </c>
    </row>
    <row r="83" spans="1:9" ht="32.25">
      <c r="A83" s="665">
        <f>[1]GASTOS!$BZ$5</f>
        <v>5</v>
      </c>
      <c r="B83" s="662" t="str">
        <f>[1]GASTOS!$BZ$6</f>
        <v>Construcción graderías en cancha El Cañaveral, Daniel Flores.</v>
      </c>
      <c r="C83" s="333">
        <f>[1]GASTOS!$BZ$339</f>
        <v>10000000</v>
      </c>
      <c r="D83" s="286">
        <f t="shared" si="2"/>
        <v>0.42637325146690619</v>
      </c>
    </row>
    <row r="84" spans="1:9" hidden="1">
      <c r="A84" s="665">
        <f>[1]GASTOS!$CA$5</f>
        <v>6</v>
      </c>
      <c r="B84" s="337" t="str">
        <f>[1]GASTOS!$CA$6</f>
        <v>xxx 6</v>
      </c>
      <c r="C84" s="333">
        <f>[1]GASTOS!$CA$339</f>
        <v>0</v>
      </c>
      <c r="D84" s="286">
        <f t="shared" si="2"/>
        <v>0</v>
      </c>
    </row>
    <row r="85" spans="1:9" hidden="1">
      <c r="A85" s="665">
        <f>[1]GASTOS!$CB$5</f>
        <v>7</v>
      </c>
      <c r="B85" s="337" t="str">
        <f>[1]GASTOS!$CB$6</f>
        <v>xxx 7</v>
      </c>
      <c r="C85" s="333">
        <f>[1]GASTOS!$CB$339</f>
        <v>0</v>
      </c>
      <c r="D85" s="286">
        <f t="shared" si="2"/>
        <v>0</v>
      </c>
    </row>
    <row r="86" spans="1:9" ht="14.25" hidden="1" customHeight="1">
      <c r="A86" s="331"/>
      <c r="B86" s="337"/>
      <c r="C86" s="333"/>
      <c r="D86" s="333"/>
    </row>
    <row r="87" spans="1:9" hidden="1">
      <c r="A87" s="331"/>
      <c r="B87" s="337"/>
      <c r="C87" s="333"/>
      <c r="D87" s="333"/>
    </row>
    <row r="88" spans="1:9" ht="22.5" hidden="1">
      <c r="A88" s="338">
        <v>7</v>
      </c>
      <c r="B88" s="339" t="s">
        <v>609</v>
      </c>
      <c r="C88" s="340">
        <f>[1]GASTOS!$CD$339</f>
        <v>0</v>
      </c>
      <c r="D88" s="340">
        <f>C88/C46*100</f>
        <v>0</v>
      </c>
      <c r="E88" s="784">
        <f>[1]GASTOS!$CD$339</f>
        <v>0</v>
      </c>
      <c r="F88" s="802">
        <f>C88-E88</f>
        <v>0</v>
      </c>
    </row>
    <row r="89" spans="1:9" ht="22.5" hidden="1">
      <c r="A89" s="338"/>
      <c r="B89" s="339"/>
      <c r="C89" s="340"/>
      <c r="D89" s="340"/>
    </row>
    <row r="90" spans="1:9">
      <c r="A90" s="342"/>
      <c r="B90" s="343"/>
      <c r="C90" s="336"/>
      <c r="D90" s="336"/>
    </row>
    <row r="91" spans="1:9" ht="22.5" hidden="1">
      <c r="A91" s="374"/>
      <c r="B91" s="375"/>
      <c r="C91" s="376"/>
      <c r="D91" s="376"/>
    </row>
    <row r="92" spans="1:9" hidden="1">
      <c r="A92" s="1368" t="s">
        <v>636</v>
      </c>
      <c r="B92" s="1365"/>
      <c r="C92" s="1365"/>
      <c r="D92" s="1365"/>
    </row>
    <row r="93" spans="1:9" hidden="1">
      <c r="A93" s="1365" t="s">
        <v>653</v>
      </c>
      <c r="B93" s="1365"/>
      <c r="C93" s="1365"/>
      <c r="D93" s="1365"/>
    </row>
    <row r="94" spans="1:9" hidden="1">
      <c r="D94"/>
    </row>
    <row r="95" spans="1:9" ht="19.5" hidden="1" thickBot="1">
      <c r="D95"/>
    </row>
    <row r="96" spans="1:9" s="22" customFormat="1" ht="19.5" hidden="1" customHeight="1" thickBot="1">
      <c r="A96" s="1366" t="s">
        <v>1126</v>
      </c>
      <c r="B96" s="1367"/>
      <c r="C96" s="134">
        <f>C99+C105+C111+C117+C122</f>
        <v>0</v>
      </c>
      <c r="D96" s="134" t="e">
        <f>D99+D105+D111+D117+D122</f>
        <v>#DIV/0!</v>
      </c>
      <c r="E96" s="802">
        <f>[1]GASTOS!$CF$338</f>
        <v>0</v>
      </c>
      <c r="F96" s="802">
        <f>C96-E96</f>
        <v>0</v>
      </c>
      <c r="I96" s="874"/>
    </row>
    <row r="97" spans="1:6" ht="18.75" hidden="1" customHeight="1">
      <c r="A97" s="329"/>
      <c r="B97" s="329"/>
      <c r="C97" s="330"/>
      <c r="D97" s="330"/>
    </row>
    <row r="98" spans="1:6" hidden="1">
      <c r="A98" s="331"/>
      <c r="B98" s="337"/>
      <c r="C98" s="333"/>
      <c r="D98" s="333"/>
    </row>
    <row r="99" spans="1:6" ht="22.5" hidden="1">
      <c r="A99" s="338">
        <v>1</v>
      </c>
      <c r="B99" s="339" t="s">
        <v>1176</v>
      </c>
      <c r="C99" s="340">
        <f>SUM(C100:C103)</f>
        <v>0</v>
      </c>
      <c r="D99" s="340">
        <f>SUM(D100:D103)</f>
        <v>0</v>
      </c>
      <c r="E99" s="802">
        <f>[1]GASTOS!$CG$339</f>
        <v>0</v>
      </c>
      <c r="F99" s="802">
        <f>C99-E99</f>
        <v>0</v>
      </c>
    </row>
    <row r="100" spans="1:6" ht="18.75" hidden="1" customHeight="1">
      <c r="A100" s="341">
        <v>1</v>
      </c>
      <c r="B100" s="337" t="s">
        <v>1178</v>
      </c>
      <c r="C100" s="333"/>
      <c r="D100" s="286">
        <f>C100/$C$46*100</f>
        <v>0</v>
      </c>
    </row>
    <row r="101" spans="1:6" hidden="1">
      <c r="A101" s="341">
        <v>2</v>
      </c>
      <c r="B101" s="337" t="s">
        <v>1178</v>
      </c>
      <c r="C101" s="333"/>
      <c r="D101" s="286">
        <f>C101/$C$46*100</f>
        <v>0</v>
      </c>
    </row>
    <row r="102" spans="1:6" ht="18.75" hidden="1" customHeight="1">
      <c r="A102" s="331"/>
      <c r="B102" s="337"/>
      <c r="C102" s="333"/>
      <c r="D102" s="286"/>
    </row>
    <row r="103" spans="1:6" hidden="1">
      <c r="A103" s="331"/>
      <c r="B103" s="337"/>
      <c r="C103" s="333"/>
      <c r="D103" s="333"/>
    </row>
    <row r="104" spans="1:6" hidden="1">
      <c r="A104" s="331"/>
      <c r="B104" s="337"/>
      <c r="C104" s="333"/>
      <c r="D104" s="333"/>
    </row>
    <row r="105" spans="1:6" ht="22.5" hidden="1">
      <c r="A105" s="338">
        <v>2</v>
      </c>
      <c r="B105" s="339" t="s">
        <v>607</v>
      </c>
      <c r="C105" s="340">
        <f>SUM(C106:C109)</f>
        <v>0</v>
      </c>
      <c r="D105" s="340">
        <f>SUM(D106:D109)</f>
        <v>0</v>
      </c>
      <c r="E105" s="802">
        <f>[1]GASTOS!$CJ$339</f>
        <v>0</v>
      </c>
      <c r="F105" s="802">
        <f>C105-E105</f>
        <v>0</v>
      </c>
    </row>
    <row r="106" spans="1:6" ht="18.75" hidden="1" customHeight="1">
      <c r="A106" s="341">
        <v>1</v>
      </c>
      <c r="B106" s="337" t="s">
        <v>1178</v>
      </c>
      <c r="C106" s="333"/>
      <c r="D106" s="286">
        <f>C106/$C$46*100</f>
        <v>0</v>
      </c>
    </row>
    <row r="107" spans="1:6" hidden="1">
      <c r="A107" s="341">
        <v>2</v>
      </c>
      <c r="B107" s="337" t="s">
        <v>1178</v>
      </c>
      <c r="C107" s="333"/>
      <c r="D107" s="286">
        <f>C107/$C$46*100</f>
        <v>0</v>
      </c>
    </row>
    <row r="108" spans="1:6" ht="18.75" hidden="1" customHeight="1">
      <c r="A108" s="331"/>
      <c r="B108" s="337"/>
      <c r="C108" s="333"/>
      <c r="D108" s="286"/>
    </row>
    <row r="109" spans="1:6" hidden="1">
      <c r="A109" s="331"/>
      <c r="B109" s="337"/>
      <c r="C109" s="333"/>
      <c r="D109" s="333"/>
    </row>
    <row r="110" spans="1:6" hidden="1">
      <c r="A110" s="331"/>
      <c r="B110" s="337"/>
      <c r="C110" s="333"/>
      <c r="D110" s="333"/>
    </row>
    <row r="111" spans="1:6" ht="22.5" hidden="1">
      <c r="A111" s="338">
        <v>5</v>
      </c>
      <c r="B111" s="339" t="s">
        <v>1177</v>
      </c>
      <c r="C111" s="340">
        <f>SUM(C112:C115)</f>
        <v>0</v>
      </c>
      <c r="D111" s="340">
        <f>SUM(D112:D115)</f>
        <v>0</v>
      </c>
      <c r="E111" s="802">
        <f>[1]GASTOS!$CM$339</f>
        <v>0</v>
      </c>
      <c r="F111" s="802">
        <f>C111-E111</f>
        <v>0</v>
      </c>
    </row>
    <row r="112" spans="1:6" ht="18.75" hidden="1" customHeight="1">
      <c r="A112" s="341">
        <v>1</v>
      </c>
      <c r="B112" s="337" t="s">
        <v>1178</v>
      </c>
      <c r="C112" s="333"/>
      <c r="D112" s="286">
        <f>C112/$C$46*100</f>
        <v>0</v>
      </c>
    </row>
    <row r="113" spans="1:6" hidden="1">
      <c r="A113" s="341">
        <v>2</v>
      </c>
      <c r="B113" s="337" t="s">
        <v>1178</v>
      </c>
      <c r="C113" s="333"/>
      <c r="D113" s="286">
        <f>C113/$C$46*100</f>
        <v>0</v>
      </c>
    </row>
    <row r="114" spans="1:6" ht="18.75" hidden="1" customHeight="1">
      <c r="A114" s="331"/>
      <c r="B114" s="337"/>
      <c r="C114" s="333"/>
      <c r="D114" s="286"/>
    </row>
    <row r="115" spans="1:6" hidden="1">
      <c r="A115" s="331"/>
      <c r="B115" s="337"/>
      <c r="C115" s="333"/>
      <c r="D115" s="333"/>
    </row>
    <row r="116" spans="1:6" hidden="1">
      <c r="A116" s="331"/>
      <c r="B116" s="337"/>
      <c r="C116" s="333"/>
      <c r="D116" s="333"/>
    </row>
    <row r="117" spans="1:6" ht="22.5" hidden="1">
      <c r="A117" s="338">
        <v>6</v>
      </c>
      <c r="B117" s="339" t="s">
        <v>608</v>
      </c>
      <c r="C117" s="340">
        <f>SUM(C118:C120)</f>
        <v>0</v>
      </c>
      <c r="D117" s="340">
        <f>SUM(D118:D120)</f>
        <v>0</v>
      </c>
      <c r="E117" s="802">
        <f>[1]GASTOS!$CP$339</f>
        <v>0</v>
      </c>
      <c r="F117" s="802">
        <f>C117-E117</f>
        <v>0</v>
      </c>
    </row>
    <row r="118" spans="1:6" hidden="1">
      <c r="A118" s="331">
        <v>1</v>
      </c>
      <c r="B118" s="337" t="s">
        <v>1178</v>
      </c>
      <c r="C118" s="333"/>
      <c r="D118" s="286">
        <f>C118/$C$46*100</f>
        <v>0</v>
      </c>
    </row>
    <row r="119" spans="1:6" hidden="1">
      <c r="A119" s="331">
        <v>2</v>
      </c>
      <c r="B119" s="337" t="s">
        <v>1178</v>
      </c>
      <c r="C119" s="333"/>
      <c r="D119" s="286">
        <f>C119/$C$46*100</f>
        <v>0</v>
      </c>
    </row>
    <row r="120" spans="1:6" ht="18.75" hidden="1" customHeight="1">
      <c r="A120" s="331"/>
      <c r="B120" s="337"/>
      <c r="C120" s="333"/>
      <c r="D120" s="333"/>
    </row>
    <row r="121" spans="1:6" hidden="1">
      <c r="A121" s="331"/>
      <c r="B121" s="337"/>
      <c r="C121" s="333"/>
      <c r="D121" s="333"/>
    </row>
    <row r="122" spans="1:6" ht="22.5" hidden="1">
      <c r="A122" s="338">
        <v>7</v>
      </c>
      <c r="B122" s="339" t="s">
        <v>609</v>
      </c>
      <c r="C122" s="340"/>
      <c r="D122" s="340" t="e">
        <f>C122/C96*100</f>
        <v>#DIV/0!</v>
      </c>
      <c r="E122" s="802">
        <f>[1]GASTOS!$CS$338</f>
        <v>0</v>
      </c>
      <c r="F122" s="802">
        <f>C122-E122</f>
        <v>0</v>
      </c>
    </row>
    <row r="123" spans="1:6" ht="22.5" hidden="1">
      <c r="A123" s="338"/>
      <c r="B123" s="339"/>
      <c r="C123" s="340"/>
      <c r="D123" s="340"/>
    </row>
    <row r="124" spans="1:6" ht="18.75" hidden="1" customHeight="1">
      <c r="A124" s="342"/>
      <c r="B124" s="343"/>
      <c r="C124" s="336"/>
      <c r="D124" s="336"/>
    </row>
    <row r="125" spans="1:6" hidden="1">
      <c r="A125" s="280"/>
      <c r="B125" s="21"/>
      <c r="C125" s="123"/>
      <c r="D125" s="123"/>
    </row>
    <row r="126" spans="1:6" ht="15" customHeight="1">
      <c r="D126"/>
    </row>
    <row r="127" spans="1:6">
      <c r="D127"/>
    </row>
    <row r="128" spans="1:6" ht="26.25" customHeight="1" thickBot="1">
      <c r="B128" s="281" t="s">
        <v>610</v>
      </c>
      <c r="C128" s="282">
        <f>C46+C20+C9+C96</f>
        <v>6132696500</v>
      </c>
      <c r="D128"/>
      <c r="F128" s="802">
        <f>SUM(F5:F127)</f>
        <v>0</v>
      </c>
    </row>
    <row r="129" spans="3:4" ht="8.25" customHeight="1" thickTop="1">
      <c r="C129" s="410"/>
      <c r="D129"/>
    </row>
    <row r="131" spans="3:4">
      <c r="C131" s="694">
        <f>[1]GASTOS!$D$338</f>
        <v>0</v>
      </c>
    </row>
    <row r="132" spans="3:4">
      <c r="C132" s="694">
        <f>C128-C131</f>
        <v>6132696500</v>
      </c>
    </row>
    <row r="133" spans="3:4">
      <c r="C133" s="694"/>
    </row>
    <row r="134" spans="3:4">
      <c r="C134" s="694">
        <f>INGRESOS!C150</f>
        <v>6132696500</v>
      </c>
    </row>
    <row r="135" spans="3:4">
      <c r="C135" s="971">
        <f>C128-C134</f>
        <v>0</v>
      </c>
    </row>
  </sheetData>
  <sheetProtection password="AC08" sheet="1"/>
  <mergeCells count="13">
    <mergeCell ref="A42:D42"/>
    <mergeCell ref="A92:D92"/>
    <mergeCell ref="A93:D93"/>
    <mergeCell ref="A96:B96"/>
    <mergeCell ref="A43:D43"/>
    <mergeCell ref="A46:B46"/>
    <mergeCell ref="A20:B20"/>
    <mergeCell ref="A4:D4"/>
    <mergeCell ref="A6:D6"/>
    <mergeCell ref="A16:D16"/>
    <mergeCell ref="A7:D7"/>
    <mergeCell ref="A17:D17"/>
    <mergeCell ref="A9:B9"/>
  </mergeCells>
  <phoneticPr fontId="0" type="noConversion"/>
  <printOptions horizontalCentered="1"/>
  <pageMargins left="1.1811023622047245" right="0.15748031496062992" top="0.19685039370078741" bottom="0.78740157480314965" header="0" footer="0.39370078740157483"/>
  <pageSetup orientation="portrait" horizontalDpi="360" verticalDpi="360" r:id="rId1"/>
  <headerFooter alignWithMargins="0">
    <oddFooter>&amp;C&amp;"Times New Roman,Negrita"&amp;11Pág. &amp;P</oddFooter>
  </headerFooter>
  <rowBreaks count="2" manualBreakCount="2">
    <brk id="14" max="16383" man="1"/>
    <brk id="4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E1CFA-CF75-4519-AAF7-6FFD969740C4}">
  <sheetPr codeName="Hoja7"/>
  <dimension ref="B1:D4"/>
  <sheetViews>
    <sheetView workbookViewId="0">
      <selection activeCell="E6" sqref="E6"/>
    </sheetView>
  </sheetViews>
  <sheetFormatPr defaultColWidth="11" defaultRowHeight="34.5"/>
  <cols>
    <col min="1" max="1" width="4.125" style="27" customWidth="1"/>
    <col min="2" max="2" width="8.5" style="27" customWidth="1"/>
    <col min="3" max="3" width="45.625" style="27" customWidth="1"/>
    <col min="4" max="16384" width="11" style="27"/>
  </cols>
  <sheetData>
    <row r="1" spans="2:4" s="565" customFormat="1" ht="72.75" customHeight="1">
      <c r="B1" s="566"/>
      <c r="C1" s="567"/>
      <c r="D1" s="566"/>
    </row>
    <row r="2" spans="2:4">
      <c r="B2" s="54"/>
      <c r="C2" s="54"/>
      <c r="D2" s="54"/>
    </row>
    <row r="4" spans="2:4" ht="51">
      <c r="C4" s="28"/>
    </row>
  </sheetData>
  <phoneticPr fontId="0" type="noConversion"/>
  <printOptions horizontalCentered="1" verticalCentered="1"/>
  <pageMargins left="1.1599999999999999" right="0.39370078740157483" top="0.19685039370078741" bottom="0.78740157480314965" header="0" footer="0.19685039370078741"/>
  <pageSetup orientation="portrait" horizontalDpi="360" verticalDpi="36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03437-D4B6-4BA0-81B7-DA350A7D9776}">
  <sheetPr codeName="Hoja8"/>
  <dimension ref="A1:R325"/>
  <sheetViews>
    <sheetView zoomScaleNormal="100" workbookViewId="0">
      <pane xSplit="1" ySplit="7" topLeftCell="B8" activePane="bottomRight" state="frozen"/>
      <selection sqref="A1:IV1"/>
      <selection pane="topRight" sqref="A1:IV1"/>
      <selection pane="bottomLeft" sqref="A1:IV1"/>
      <selection pane="bottomRight" activeCell="B8" sqref="B8"/>
    </sheetView>
  </sheetViews>
  <sheetFormatPr defaultRowHeight="18"/>
  <cols>
    <col min="1" max="1" width="22.5" customWidth="1"/>
    <col min="2" max="2" width="14" style="93" customWidth="1"/>
    <col min="3" max="3" width="3.125" style="93" customWidth="1"/>
    <col min="4" max="4" width="5.25" style="124" customWidth="1"/>
    <col min="5" max="5" width="3.125" style="139" customWidth="1"/>
    <col min="6" max="6" width="28.875" customWidth="1"/>
    <col min="7" max="7" width="14.75" style="93" customWidth="1"/>
    <col min="8" max="8" width="14.125" style="446" hidden="1" customWidth="1"/>
    <col min="9" max="9" width="5.875" style="201" hidden="1" customWidth="1"/>
    <col min="10" max="10" width="14.375" style="19" hidden="1" customWidth="1"/>
    <col min="11" max="12" width="15.5" style="826" hidden="1" customWidth="1"/>
    <col min="13" max="13" width="15.75" style="19" hidden="1" customWidth="1"/>
    <col min="14" max="14" width="15.75" hidden="1" customWidth="1"/>
    <col min="15" max="15" width="14.5" style="19" hidden="1" customWidth="1"/>
    <col min="16" max="16" width="3.25" style="695" hidden="1" customWidth="1"/>
    <col min="17" max="17" width="15.25" style="456" hidden="1" customWidth="1"/>
    <col min="18" max="18" width="12.875" style="20" hidden="1" customWidth="1"/>
    <col min="19" max="256" width="11" customWidth="1"/>
  </cols>
  <sheetData>
    <row r="1" spans="1:18" s="577" customFormat="1" ht="27.75" thickBot="1">
      <c r="A1" s="650" t="str">
        <f>INGRESOS!A1</f>
        <v>Municipalidad de Pérez Zeledón</v>
      </c>
      <c r="B1" s="651"/>
      <c r="C1" s="651"/>
      <c r="D1" s="651"/>
      <c r="E1" s="652"/>
      <c r="F1" s="651"/>
      <c r="G1" s="653" t="str">
        <f>INGRESOS!D1</f>
        <v>Presupuesto Ordinario 2013</v>
      </c>
      <c r="H1" s="1357" t="s">
        <v>1207</v>
      </c>
      <c r="J1" s="876"/>
      <c r="K1" s="982" t="s">
        <v>1260</v>
      </c>
      <c r="L1" s="582"/>
      <c r="M1" s="582"/>
      <c r="O1" s="582"/>
      <c r="P1" s="877"/>
      <c r="Q1" s="998"/>
      <c r="R1" s="999"/>
    </row>
    <row r="2" spans="1:18" s="125" customFormat="1" ht="33.75" customHeight="1">
      <c r="A2" s="1373" t="s">
        <v>290</v>
      </c>
      <c r="B2" s="1373"/>
      <c r="C2" s="1373"/>
      <c r="D2" s="1373"/>
      <c r="E2" s="1373"/>
      <c r="F2" s="1373"/>
      <c r="G2" s="1373"/>
      <c r="H2" s="445"/>
      <c r="I2" s="200"/>
      <c r="J2" s="885"/>
      <c r="K2" s="982" t="s">
        <v>1261</v>
      </c>
      <c r="L2" s="821"/>
      <c r="M2" s="439"/>
      <c r="O2" s="439"/>
      <c r="P2" s="878"/>
      <c r="Q2" s="814"/>
      <c r="R2" s="1000"/>
    </row>
    <row r="3" spans="1:18" s="125" customFormat="1" ht="23.25" customHeight="1">
      <c r="A3" s="1374" t="s">
        <v>1602</v>
      </c>
      <c r="B3" s="1374"/>
      <c r="C3" s="1374"/>
      <c r="D3" s="1374"/>
      <c r="E3" s="1374"/>
      <c r="F3" s="1374"/>
      <c r="G3" s="1374"/>
      <c r="H3" s="445"/>
      <c r="I3" s="200"/>
      <c r="J3" s="1296"/>
      <c r="K3" s="982" t="s">
        <v>1583</v>
      </c>
      <c r="L3" s="821"/>
      <c r="M3" s="439"/>
      <c r="O3" s="439"/>
      <c r="P3" s="878"/>
      <c r="Q3" s="814"/>
      <c r="R3" s="1000"/>
    </row>
    <row r="4" spans="1:18" ht="18.75" customHeight="1">
      <c r="A4" s="654"/>
      <c r="B4" s="655"/>
      <c r="C4" s="655"/>
      <c r="D4" s="656"/>
      <c r="E4" s="657"/>
      <c r="F4" s="654"/>
      <c r="G4" s="655"/>
      <c r="J4" s="795"/>
      <c r="K4" s="982" t="s">
        <v>1636</v>
      </c>
      <c r="L4" s="822"/>
    </row>
    <row r="5" spans="1:18" ht="21" thickBot="1">
      <c r="K5" s="822"/>
      <c r="L5" s="822"/>
      <c r="M5" s="1342" t="s">
        <v>1635</v>
      </c>
      <c r="O5" s="1342" t="s">
        <v>1635</v>
      </c>
    </row>
    <row r="6" spans="1:18" s="127" customFormat="1" ht="14.25" customHeight="1">
      <c r="A6" s="1376" t="s">
        <v>1603</v>
      </c>
      <c r="B6" s="1378" t="s">
        <v>98</v>
      </c>
      <c r="C6" s="1380" t="s">
        <v>291</v>
      </c>
      <c r="D6" s="1381"/>
      <c r="E6" s="1381"/>
      <c r="F6" s="1381"/>
      <c r="G6" s="1382"/>
      <c r="H6" s="447"/>
      <c r="I6" s="202"/>
      <c r="J6" s="440"/>
      <c r="K6" s="823"/>
      <c r="L6" s="823"/>
      <c r="M6" s="440"/>
      <c r="N6" s="1295" t="s">
        <v>1580</v>
      </c>
      <c r="O6" s="440" t="s">
        <v>1579</v>
      </c>
      <c r="P6" s="879"/>
      <c r="Q6" s="440"/>
    </row>
    <row r="7" spans="1:18" s="128" customFormat="1" ht="40.5" customHeight="1" thickBot="1">
      <c r="A7" s="1377"/>
      <c r="B7" s="1379"/>
      <c r="C7" s="206" t="s">
        <v>298</v>
      </c>
      <c r="D7" s="207" t="s">
        <v>300</v>
      </c>
      <c r="E7" s="208" t="s">
        <v>299</v>
      </c>
      <c r="F7" s="209"/>
      <c r="G7" s="210" t="s">
        <v>98</v>
      </c>
      <c r="H7" s="448"/>
      <c r="I7" s="203"/>
      <c r="J7" s="441"/>
      <c r="K7" s="824"/>
      <c r="L7" s="824"/>
      <c r="M7" s="441" t="s">
        <v>1638</v>
      </c>
      <c r="N7" s="1294">
        <f>[1]GASTOS!$G$339-O7</f>
        <v>0</v>
      </c>
      <c r="O7" s="1293">
        <f>SUM(O8:O317)</f>
        <v>1432625796.5999999</v>
      </c>
      <c r="P7" s="880"/>
      <c r="Q7" s="441"/>
    </row>
    <row r="8" spans="1:18" s="16" customFormat="1" ht="13.5" customHeight="1">
      <c r="A8" s="211"/>
      <c r="B8" s="212"/>
      <c r="C8" s="213"/>
      <c r="D8" s="214"/>
      <c r="E8" s="214"/>
      <c r="F8" s="215"/>
      <c r="G8" s="805"/>
      <c r="H8" s="449"/>
      <c r="I8" s="201"/>
      <c r="J8" s="25"/>
      <c r="K8" s="17"/>
      <c r="L8" s="17"/>
      <c r="M8" s="25"/>
      <c r="O8" s="1292">
        <f>IF(F8="Administración General",G8,0)</f>
        <v>0</v>
      </c>
      <c r="P8" s="881"/>
      <c r="Q8" s="456"/>
      <c r="R8" s="20"/>
    </row>
    <row r="9" spans="1:18" s="16" customFormat="1">
      <c r="A9" s="181" t="s">
        <v>292</v>
      </c>
      <c r="B9" s="184">
        <f>[12]ESTIMACION!$E$16</f>
        <v>1080000000</v>
      </c>
      <c r="C9" s="185"/>
      <c r="D9" s="185"/>
      <c r="E9" s="186"/>
      <c r="F9" s="185"/>
      <c r="G9" s="820">
        <f>SUM(G10:G34)</f>
        <v>1080000000</v>
      </c>
      <c r="H9" s="449">
        <f>B9-G9</f>
        <v>0</v>
      </c>
      <c r="I9" s="201"/>
      <c r="J9" s="25"/>
      <c r="K9" s="17"/>
      <c r="L9" s="17"/>
      <c r="M9" s="25"/>
      <c r="O9" s="1292">
        <f>IF(F9="Administración General",G9,0)</f>
        <v>0</v>
      </c>
      <c r="P9" s="881"/>
      <c r="Q9" s="456"/>
      <c r="R9" s="20"/>
    </row>
    <row r="10" spans="1:18" s="16" customFormat="1" ht="15.75" customHeight="1">
      <c r="A10" s="1370" t="str">
        <f>[12]ESTIMACION!$D$16</f>
        <v>Impuesto sobre la propiedad de bienes inmuebles, Ley No. 7729</v>
      </c>
      <c r="B10" s="184"/>
      <c r="C10" s="187" t="s">
        <v>65</v>
      </c>
      <c r="D10" s="186" t="s">
        <v>41</v>
      </c>
      <c r="E10" s="186"/>
      <c r="F10" s="185" t="s">
        <v>294</v>
      </c>
      <c r="G10" s="184">
        <v>108000000</v>
      </c>
      <c r="H10" s="449"/>
      <c r="I10" s="792" t="s">
        <v>1202</v>
      </c>
      <c r="J10" s="444">
        <f>B9*10%</f>
        <v>108000000</v>
      </c>
      <c r="K10" s="17">
        <f>J10-G10</f>
        <v>0</v>
      </c>
      <c r="L10" s="17"/>
      <c r="M10" s="25"/>
      <c r="O10" s="1292">
        <f>IF(F10="Administración General",G10,0)</f>
        <v>108000000</v>
      </c>
      <c r="P10" s="881"/>
      <c r="Q10" s="456"/>
      <c r="R10" s="20"/>
    </row>
    <row r="11" spans="1:18" s="16" customFormat="1">
      <c r="A11" s="1370"/>
      <c r="B11" s="184"/>
      <c r="C11" s="187" t="s">
        <v>65</v>
      </c>
      <c r="D11" s="186" t="s">
        <v>44</v>
      </c>
      <c r="E11" s="186"/>
      <c r="F11" s="185" t="s">
        <v>293</v>
      </c>
      <c r="G11" s="184">
        <v>108000000</v>
      </c>
      <c r="H11" s="449"/>
      <c r="I11" s="201"/>
      <c r="J11" s="444">
        <f>B9*10%</f>
        <v>108000000</v>
      </c>
      <c r="K11" s="17">
        <f>J11-G11</f>
        <v>0</v>
      </c>
      <c r="L11" s="793">
        <f>G11+G38</f>
        <v>108000800</v>
      </c>
      <c r="M11" s="25" t="s">
        <v>1336</v>
      </c>
      <c r="O11" s="1292">
        <f t="shared" ref="O11:O74" si="0">IF(F11="Administración General",G11,0)</f>
        <v>0</v>
      </c>
      <c r="P11" s="881"/>
      <c r="Q11" s="456"/>
      <c r="R11" s="20"/>
    </row>
    <row r="12" spans="1:18" s="16" customFormat="1">
      <c r="A12" s="1370"/>
      <c r="B12" s="184"/>
      <c r="C12" s="187" t="s">
        <v>65</v>
      </c>
      <c r="D12" s="186" t="s">
        <v>44</v>
      </c>
      <c r="E12" s="186"/>
      <c r="F12" s="185" t="s">
        <v>513</v>
      </c>
      <c r="G12" s="184">
        <v>10800000</v>
      </c>
      <c r="H12" s="449"/>
      <c r="I12" s="201"/>
      <c r="J12" s="444">
        <f>B9*1%</f>
        <v>10800000</v>
      </c>
      <c r="K12" s="17">
        <f t="shared" ref="K12:K20" si="1">J12-G12</f>
        <v>0</v>
      </c>
      <c r="M12" s="25"/>
      <c r="O12" s="1292">
        <f t="shared" si="0"/>
        <v>0</v>
      </c>
      <c r="P12" s="881"/>
      <c r="Q12" s="456"/>
      <c r="R12" s="20"/>
    </row>
    <row r="13" spans="1:18" s="16" customFormat="1">
      <c r="A13" s="181"/>
      <c r="B13" s="184"/>
      <c r="C13" s="187" t="s">
        <v>65</v>
      </c>
      <c r="D13" s="186" t="s">
        <v>44</v>
      </c>
      <c r="E13" s="186"/>
      <c r="F13" s="185" t="s">
        <v>514</v>
      </c>
      <c r="G13" s="184">
        <v>32400000</v>
      </c>
      <c r="H13" s="449"/>
      <c r="I13" s="201"/>
      <c r="J13" s="444">
        <f>B9*3%</f>
        <v>32400000</v>
      </c>
      <c r="K13" s="17">
        <f t="shared" si="1"/>
        <v>0</v>
      </c>
      <c r="L13" s="793">
        <f>G13+G39</f>
        <v>32400240</v>
      </c>
      <c r="M13" s="25" t="s">
        <v>1336</v>
      </c>
      <c r="O13" s="1292">
        <f t="shared" si="0"/>
        <v>0</v>
      </c>
      <c r="P13" s="881"/>
      <c r="Q13" s="456"/>
      <c r="R13" s="20"/>
    </row>
    <row r="14" spans="1:18" s="16" customFormat="1">
      <c r="A14" s="181"/>
      <c r="B14" s="184"/>
      <c r="C14" s="187" t="s">
        <v>65</v>
      </c>
      <c r="D14" s="186" t="s">
        <v>44</v>
      </c>
      <c r="E14" s="186"/>
      <c r="F14" s="183" t="s">
        <v>158</v>
      </c>
      <c r="G14" s="184">
        <v>154500000</v>
      </c>
      <c r="I14" s="201"/>
      <c r="J14" s="795">
        <f>[1]GASTOS!$R$240</f>
        <v>151553895</v>
      </c>
      <c r="K14" s="17">
        <f t="shared" si="1"/>
        <v>-2946105</v>
      </c>
      <c r="L14" s="17"/>
      <c r="M14" s="25"/>
      <c r="O14" s="1292">
        <f t="shared" si="0"/>
        <v>0</v>
      </c>
      <c r="P14" s="881"/>
      <c r="Q14" s="456"/>
      <c r="R14" s="20"/>
    </row>
    <row r="15" spans="1:18" s="16" customFormat="1">
      <c r="A15" s="181"/>
      <c r="B15" s="184"/>
      <c r="C15" s="187" t="s">
        <v>65</v>
      </c>
      <c r="D15" s="186" t="s">
        <v>44</v>
      </c>
      <c r="E15" s="186"/>
      <c r="F15" s="183" t="s">
        <v>157</v>
      </c>
      <c r="G15" s="184">
        <f>25750000+5404500</f>
        <v>31154500</v>
      </c>
      <c r="H15" s="449"/>
      <c r="I15" s="201"/>
      <c r="J15" s="795">
        <f>[1]GASTOS!$R$235</f>
        <v>30663483</v>
      </c>
      <c r="K15" s="17">
        <f t="shared" si="1"/>
        <v>-491017</v>
      </c>
      <c r="L15" s="17"/>
      <c r="M15" s="25"/>
      <c r="O15" s="1292">
        <f t="shared" si="0"/>
        <v>0</v>
      </c>
      <c r="P15" s="881"/>
      <c r="Q15" s="456"/>
      <c r="R15" s="20"/>
    </row>
    <row r="16" spans="1:18" s="16" customFormat="1" ht="30">
      <c r="A16" s="181"/>
      <c r="B16" s="184"/>
      <c r="C16" s="187" t="s">
        <v>65</v>
      </c>
      <c r="D16" s="186" t="s">
        <v>44</v>
      </c>
      <c r="E16" s="186"/>
      <c r="F16" s="183" t="s">
        <v>539</v>
      </c>
      <c r="G16" s="184">
        <v>25000000</v>
      </c>
      <c r="H16" s="449"/>
      <c r="I16" s="201"/>
      <c r="J16" s="795">
        <f>[1]GASTOS!$R$254</f>
        <v>25684043</v>
      </c>
      <c r="K16" s="17">
        <f t="shared" si="1"/>
        <v>684043</v>
      </c>
      <c r="L16" s="17"/>
      <c r="M16" s="25"/>
      <c r="O16" s="1292">
        <f t="shared" si="0"/>
        <v>0</v>
      </c>
      <c r="P16" s="881"/>
      <c r="Q16" s="456"/>
      <c r="R16" s="20"/>
    </row>
    <row r="17" spans="1:18" s="16" customFormat="1" ht="30">
      <c r="A17" s="181"/>
      <c r="B17" s="184"/>
      <c r="C17" s="187" t="s">
        <v>65</v>
      </c>
      <c r="D17" s="186" t="s">
        <v>44</v>
      </c>
      <c r="E17" s="186"/>
      <c r="F17" s="183" t="s">
        <v>1623</v>
      </c>
      <c r="G17" s="184">
        <v>500000</v>
      </c>
      <c r="H17" s="449"/>
      <c r="I17" s="201"/>
      <c r="J17" s="795"/>
      <c r="K17" s="17"/>
      <c r="L17" s="17"/>
      <c r="M17" s="25"/>
      <c r="O17" s="1292">
        <f t="shared" si="0"/>
        <v>0</v>
      </c>
      <c r="P17" s="881"/>
      <c r="Q17" s="456"/>
      <c r="R17" s="20"/>
    </row>
    <row r="18" spans="1:18" s="16" customFormat="1">
      <c r="A18" s="181"/>
      <c r="B18" s="184"/>
      <c r="C18" s="1034" t="s">
        <v>56</v>
      </c>
      <c r="D18" s="190" t="s">
        <v>81</v>
      </c>
      <c r="E18" s="190"/>
      <c r="F18" s="1035" t="s">
        <v>540</v>
      </c>
      <c r="G18" s="983">
        <v>34550000</v>
      </c>
      <c r="H18" s="449"/>
      <c r="I18" s="201"/>
      <c r="J18" s="25"/>
      <c r="K18" s="17"/>
      <c r="L18" s="17"/>
      <c r="M18" s="25"/>
      <c r="O18" s="1292">
        <f t="shared" si="0"/>
        <v>0</v>
      </c>
      <c r="P18" s="881"/>
      <c r="Q18" s="456"/>
      <c r="R18" s="20"/>
    </row>
    <row r="19" spans="1:18" s="16" customFormat="1">
      <c r="A19" s="181"/>
      <c r="B19" s="184"/>
      <c r="C19" s="187" t="s">
        <v>56</v>
      </c>
      <c r="D19" s="186" t="s">
        <v>1119</v>
      </c>
      <c r="E19" s="186"/>
      <c r="F19" s="185" t="s">
        <v>257</v>
      </c>
      <c r="G19" s="184">
        <v>10000000</v>
      </c>
      <c r="H19" s="449"/>
      <c r="I19" s="201"/>
      <c r="J19" s="796">
        <f>[1]GASTOS!$Y$339</f>
        <v>11236078</v>
      </c>
      <c r="K19" s="17">
        <f t="shared" si="1"/>
        <v>1236078</v>
      </c>
      <c r="L19" s="17"/>
      <c r="M19" s="25"/>
      <c r="O19" s="1292">
        <f t="shared" si="0"/>
        <v>0</v>
      </c>
      <c r="P19" s="881"/>
      <c r="Q19" s="456"/>
      <c r="R19" s="20"/>
    </row>
    <row r="20" spans="1:18" s="16" customFormat="1" ht="30">
      <c r="A20" s="181"/>
      <c r="B20" s="184"/>
      <c r="C20" s="187" t="s">
        <v>56</v>
      </c>
      <c r="D20" s="186" t="s">
        <v>46</v>
      </c>
      <c r="E20" s="186"/>
      <c r="F20" s="183" t="s">
        <v>1350</v>
      </c>
      <c r="G20" s="184">
        <v>50000000</v>
      </c>
      <c r="H20" s="449"/>
      <c r="I20" s="201"/>
      <c r="J20" s="796">
        <f>[1]GASTOS!$AC$339</f>
        <v>58088320</v>
      </c>
      <c r="K20" s="17">
        <f t="shared" si="1"/>
        <v>8088320</v>
      </c>
      <c r="L20" s="17"/>
      <c r="M20" s="25"/>
      <c r="O20" s="1292">
        <f t="shared" si="0"/>
        <v>0</v>
      </c>
      <c r="P20" s="881"/>
      <c r="Q20" s="456"/>
      <c r="R20" s="20"/>
    </row>
    <row r="21" spans="1:18" s="16" customFormat="1" ht="30">
      <c r="A21" s="181"/>
      <c r="B21" s="184"/>
      <c r="C21" s="187" t="s">
        <v>56</v>
      </c>
      <c r="D21" s="186" t="s">
        <v>46</v>
      </c>
      <c r="E21" s="186"/>
      <c r="F21" s="183" t="s">
        <v>1349</v>
      </c>
      <c r="G21" s="184">
        <v>60000000</v>
      </c>
      <c r="H21" s="449"/>
      <c r="I21" s="201"/>
      <c r="J21" s="796">
        <f>[1]GASTOS!$AD$339</f>
        <v>68262291</v>
      </c>
      <c r="K21" s="17">
        <f>J21-G21</f>
        <v>8262291</v>
      </c>
      <c r="L21" s="17"/>
      <c r="M21" s="25"/>
      <c r="O21" s="1292">
        <f t="shared" si="0"/>
        <v>0</v>
      </c>
      <c r="P21" s="881"/>
      <c r="Q21" s="456"/>
      <c r="R21" s="20"/>
    </row>
    <row r="22" spans="1:18" s="16" customFormat="1" ht="30">
      <c r="A22" s="181"/>
      <c r="B22" s="184"/>
      <c r="C22" s="187" t="s">
        <v>56</v>
      </c>
      <c r="D22" s="186" t="s">
        <v>46</v>
      </c>
      <c r="E22" s="186"/>
      <c r="F22" s="183" t="s">
        <v>1325</v>
      </c>
      <c r="G22" s="184">
        <v>10000000</v>
      </c>
      <c r="H22" s="449"/>
      <c r="I22" s="201"/>
      <c r="J22" s="796">
        <f>[1]GASTOS!$AG$339</f>
        <v>13000000</v>
      </c>
      <c r="K22" s="17">
        <f>J22-G22</f>
        <v>3000000</v>
      </c>
      <c r="L22" s="17"/>
      <c r="M22" s="25"/>
      <c r="O22" s="1292">
        <f t="shared" si="0"/>
        <v>0</v>
      </c>
      <c r="P22" s="881"/>
      <c r="Q22" s="456"/>
      <c r="R22" s="20"/>
    </row>
    <row r="23" spans="1:18" s="16" customFormat="1" ht="30">
      <c r="A23" s="181"/>
      <c r="B23" s="184"/>
      <c r="C23" s="187" t="s">
        <v>56</v>
      </c>
      <c r="D23" s="186" t="s">
        <v>46</v>
      </c>
      <c r="E23" s="186"/>
      <c r="F23" s="183" t="s">
        <v>1348</v>
      </c>
      <c r="G23" s="184">
        <v>18000000</v>
      </c>
      <c r="H23" s="449"/>
      <c r="I23" s="201"/>
      <c r="J23" s="796">
        <f>[1]GASTOS!$AI$339</f>
        <v>20273628</v>
      </c>
      <c r="K23" s="17">
        <f>J23-G23</f>
        <v>2273628</v>
      </c>
      <c r="L23" s="17"/>
      <c r="M23" s="25"/>
      <c r="O23" s="1292">
        <f t="shared" si="0"/>
        <v>0</v>
      </c>
      <c r="P23" s="881"/>
      <c r="Q23" s="456"/>
      <c r="R23" s="20"/>
    </row>
    <row r="24" spans="1:18" s="16" customFormat="1" ht="30">
      <c r="A24" s="181"/>
      <c r="B24" s="184"/>
      <c r="C24" s="187" t="s">
        <v>56</v>
      </c>
      <c r="D24" s="186" t="s">
        <v>1097</v>
      </c>
      <c r="E24" s="186"/>
      <c r="F24" s="183" t="s">
        <v>1351</v>
      </c>
      <c r="G24" s="184">
        <v>10000000</v>
      </c>
      <c r="H24" s="449"/>
      <c r="I24" s="201"/>
      <c r="J24" s="795">
        <f>[1]GASTOS!$AK$339</f>
        <v>13881905</v>
      </c>
      <c r="K24" s="17">
        <f>J24-G24</f>
        <v>3881905</v>
      </c>
      <c r="L24" s="17"/>
      <c r="M24" s="25"/>
      <c r="O24" s="1292">
        <f t="shared" si="0"/>
        <v>0</v>
      </c>
      <c r="P24" s="881"/>
      <c r="Q24" s="456"/>
      <c r="R24" s="20"/>
    </row>
    <row r="25" spans="1:18" s="16" customFormat="1">
      <c r="A25" s="181"/>
      <c r="B25" s="184"/>
      <c r="C25" s="187" t="s">
        <v>56</v>
      </c>
      <c r="D25" s="186" t="s">
        <v>661</v>
      </c>
      <c r="E25" s="186"/>
      <c r="F25" s="183" t="s">
        <v>1055</v>
      </c>
      <c r="G25" s="184">
        <f>20000000-5904500</f>
        <v>14095500</v>
      </c>
      <c r="H25" s="449"/>
      <c r="I25" s="201"/>
      <c r="J25" s="25"/>
      <c r="K25" s="17"/>
      <c r="L25" s="17"/>
      <c r="M25" s="25"/>
      <c r="O25" s="1292">
        <f t="shared" si="0"/>
        <v>0</v>
      </c>
      <c r="P25" s="881"/>
      <c r="Q25" s="456"/>
      <c r="R25" s="20"/>
    </row>
    <row r="26" spans="1:18" s="16" customFormat="1">
      <c r="A26" s="181"/>
      <c r="B26" s="184"/>
      <c r="C26" s="187" t="s">
        <v>56</v>
      </c>
      <c r="D26" s="186" t="s">
        <v>1128</v>
      </c>
      <c r="E26" s="186"/>
      <c r="F26" s="183" t="s">
        <v>603</v>
      </c>
      <c r="G26" s="184">
        <v>80000000</v>
      </c>
      <c r="H26" s="449"/>
      <c r="I26" s="201"/>
      <c r="J26" s="795">
        <f>[1]GASTOS!$AT$339</f>
        <v>97988282</v>
      </c>
      <c r="K26" s="17">
        <f>J26-G26</f>
        <v>17988282</v>
      </c>
      <c r="L26" s="17"/>
      <c r="M26" s="25"/>
      <c r="O26" s="1292">
        <f t="shared" si="0"/>
        <v>0</v>
      </c>
      <c r="P26" s="881"/>
      <c r="Q26" s="456"/>
      <c r="R26" s="20"/>
    </row>
    <row r="27" spans="1:18" s="16" customFormat="1">
      <c r="A27" s="181"/>
      <c r="B27" s="184"/>
      <c r="C27" s="187" t="s">
        <v>56</v>
      </c>
      <c r="D27" s="186" t="s">
        <v>525</v>
      </c>
      <c r="E27" s="186"/>
      <c r="F27" s="185" t="s">
        <v>1201</v>
      </c>
      <c r="G27" s="184">
        <v>30000000</v>
      </c>
      <c r="H27" s="449"/>
      <c r="I27" s="201"/>
      <c r="J27" s="795">
        <f>[1]GASTOS!$AU$339</f>
        <v>35140330</v>
      </c>
      <c r="K27" s="17">
        <f>J27-G27</f>
        <v>5140330</v>
      </c>
      <c r="L27" s="17"/>
      <c r="M27" s="25"/>
      <c r="O27" s="1292">
        <f t="shared" si="0"/>
        <v>0</v>
      </c>
      <c r="P27" s="881"/>
      <c r="Q27" s="456"/>
      <c r="R27" s="20"/>
    </row>
    <row r="28" spans="1:18" s="16" customFormat="1">
      <c r="A28" s="181"/>
      <c r="B28" s="184"/>
      <c r="C28" s="187" t="s">
        <v>56</v>
      </c>
      <c r="D28" s="186" t="s">
        <v>518</v>
      </c>
      <c r="E28" s="186"/>
      <c r="F28" s="185" t="s">
        <v>1272</v>
      </c>
      <c r="G28" s="184">
        <v>33000000</v>
      </c>
      <c r="H28" s="449"/>
      <c r="I28" s="201"/>
      <c r="J28" s="795">
        <f>[1]GASTOS!$AW$339</f>
        <v>39133889</v>
      </c>
      <c r="K28" s="17">
        <f>J28-G28</f>
        <v>6133889</v>
      </c>
      <c r="L28" s="17"/>
      <c r="M28" s="25"/>
      <c r="O28" s="1292">
        <f t="shared" si="0"/>
        <v>0</v>
      </c>
      <c r="P28" s="881"/>
      <c r="Q28" s="456"/>
      <c r="R28" s="20"/>
    </row>
    <row r="29" spans="1:18" s="16" customFormat="1" ht="36" customHeight="1">
      <c r="A29" s="181"/>
      <c r="B29" s="184"/>
      <c r="C29" s="187" t="s">
        <v>56</v>
      </c>
      <c r="D29" s="186" t="s">
        <v>1166</v>
      </c>
      <c r="E29" s="186"/>
      <c r="F29" s="183" t="s">
        <v>1168</v>
      </c>
      <c r="G29" s="184">
        <v>130000000</v>
      </c>
      <c r="H29" s="449" t="s">
        <v>1167</v>
      </c>
      <c r="I29" s="201"/>
      <c r="J29" s="795">
        <f>[1]GASTOS!$BB$339</f>
        <v>130000000</v>
      </c>
      <c r="K29" s="17">
        <f>J29-G29</f>
        <v>0</v>
      </c>
      <c r="L29" s="17"/>
      <c r="M29" s="25"/>
      <c r="O29" s="1292">
        <f t="shared" si="0"/>
        <v>0</v>
      </c>
      <c r="P29" s="881"/>
      <c r="Q29" s="456"/>
      <c r="R29" s="20"/>
    </row>
    <row r="30" spans="1:18" s="16" customFormat="1" ht="30">
      <c r="A30" s="181"/>
      <c r="B30" s="184"/>
      <c r="C30" s="187" t="s">
        <v>66</v>
      </c>
      <c r="D30" s="186" t="s">
        <v>79</v>
      </c>
      <c r="E30" s="186" t="s">
        <v>38</v>
      </c>
      <c r="F30" s="183" t="s">
        <v>1324</v>
      </c>
      <c r="G30" s="184">
        <f>20000000-5000000</f>
        <v>15000000</v>
      </c>
      <c r="H30" s="449"/>
      <c r="I30" s="201"/>
      <c r="J30" s="25"/>
      <c r="K30" s="17"/>
      <c r="L30" s="17"/>
      <c r="M30" s="25"/>
      <c r="O30" s="1292">
        <f t="shared" si="0"/>
        <v>0</v>
      </c>
      <c r="P30" s="881"/>
      <c r="Q30" s="456"/>
      <c r="R30" s="20"/>
    </row>
    <row r="31" spans="1:18" s="16" customFormat="1" ht="30">
      <c r="A31" s="181"/>
      <c r="B31" s="184"/>
      <c r="C31" s="1034" t="s">
        <v>66</v>
      </c>
      <c r="D31" s="190" t="s">
        <v>79</v>
      </c>
      <c r="E31" s="190" t="s">
        <v>85</v>
      </c>
      <c r="F31" s="1035" t="s">
        <v>1347</v>
      </c>
      <c r="G31" s="983">
        <v>30000000</v>
      </c>
      <c r="H31" s="449"/>
      <c r="I31" s="201"/>
      <c r="J31" s="201"/>
      <c r="K31" s="17"/>
      <c r="L31" s="17"/>
      <c r="M31" s="25"/>
      <c r="O31" s="1292">
        <f t="shared" si="0"/>
        <v>0</v>
      </c>
      <c r="P31" s="881"/>
      <c r="Q31" s="456"/>
      <c r="R31" s="20"/>
    </row>
    <row r="32" spans="1:18" s="16" customFormat="1">
      <c r="A32" s="181"/>
      <c r="B32" s="184"/>
      <c r="C32" s="187" t="s">
        <v>66</v>
      </c>
      <c r="D32" s="186" t="s">
        <v>85</v>
      </c>
      <c r="E32" s="186" t="s">
        <v>77</v>
      </c>
      <c r="F32" s="183" t="s">
        <v>1218</v>
      </c>
      <c r="G32" s="184">
        <v>80000000</v>
      </c>
      <c r="H32" s="449"/>
      <c r="I32" s="201"/>
      <c r="J32" s="795">
        <f>[1]GASTOS!$BV$339</f>
        <v>93118998</v>
      </c>
      <c r="K32" s="17">
        <f>J32-G32</f>
        <v>13118998</v>
      </c>
      <c r="L32" s="17"/>
      <c r="M32" s="25"/>
      <c r="O32" s="1292">
        <f t="shared" si="0"/>
        <v>0</v>
      </c>
      <c r="P32" s="881"/>
      <c r="Q32" s="456"/>
      <c r="R32" s="20"/>
    </row>
    <row r="33" spans="1:18" s="16" customFormat="1" ht="30">
      <c r="A33" s="181"/>
      <c r="B33" s="184"/>
      <c r="C33" s="187" t="s">
        <v>66</v>
      </c>
      <c r="D33" s="186" t="s">
        <v>85</v>
      </c>
      <c r="E33" s="186" t="s">
        <v>38</v>
      </c>
      <c r="F33" s="183" t="s">
        <v>1624</v>
      </c>
      <c r="G33" s="184">
        <v>5000000</v>
      </c>
      <c r="H33" s="449"/>
      <c r="I33" s="201"/>
      <c r="J33" s="25"/>
      <c r="K33" s="17"/>
      <c r="L33" s="17"/>
      <c r="M33" s="25"/>
      <c r="O33" s="1292"/>
      <c r="P33" s="881"/>
      <c r="Q33" s="456"/>
      <c r="R33" s="20"/>
    </row>
    <row r="34" spans="1:18" s="47" customFormat="1">
      <c r="A34" s="181"/>
      <c r="B34" s="184"/>
      <c r="C34" s="187"/>
      <c r="D34" s="186"/>
      <c r="E34" s="186"/>
      <c r="F34" s="185"/>
      <c r="G34" s="808"/>
      <c r="H34" s="966"/>
      <c r="I34" s="967"/>
      <c r="J34" s="968"/>
      <c r="K34" s="18"/>
      <c r="L34" s="18"/>
      <c r="M34" s="968"/>
      <c r="O34" s="1292">
        <f t="shared" si="0"/>
        <v>0</v>
      </c>
      <c r="P34" s="969"/>
      <c r="Q34" s="1001"/>
      <c r="R34" s="1002"/>
    </row>
    <row r="35" spans="1:18" s="16" customFormat="1">
      <c r="A35" s="181"/>
      <c r="B35" s="184"/>
      <c r="C35" s="187"/>
      <c r="D35" s="186"/>
      <c r="E35" s="186"/>
      <c r="F35" s="185"/>
      <c r="G35" s="808"/>
      <c r="H35" s="449"/>
      <c r="I35" s="201"/>
      <c r="J35" s="25"/>
      <c r="K35" s="17"/>
      <c r="L35" s="17"/>
      <c r="M35" s="25"/>
      <c r="O35" s="1292">
        <f t="shared" si="0"/>
        <v>0</v>
      </c>
      <c r="P35" s="881"/>
      <c r="Q35" s="456"/>
      <c r="R35" s="20"/>
    </row>
    <row r="36" spans="1:18" s="16" customFormat="1">
      <c r="A36" s="181" t="s">
        <v>302</v>
      </c>
      <c r="B36" s="184">
        <f>[12]ESTIMACION!$E$17</f>
        <v>8000</v>
      </c>
      <c r="C36" s="185"/>
      <c r="D36" s="185"/>
      <c r="E36" s="186"/>
      <c r="F36" s="185"/>
      <c r="G36" s="820">
        <f>SUM(G37:G43)</f>
        <v>8000</v>
      </c>
      <c r="H36" s="449">
        <f>B36-G36</f>
        <v>0</v>
      </c>
      <c r="I36" s="201"/>
      <c r="J36" s="25"/>
      <c r="K36" s="17"/>
      <c r="L36" s="17"/>
      <c r="M36" s="25"/>
      <c r="O36" s="1292">
        <f t="shared" si="0"/>
        <v>0</v>
      </c>
      <c r="P36" s="881"/>
      <c r="Q36" s="456"/>
      <c r="R36" s="20"/>
    </row>
    <row r="37" spans="1:18" s="16" customFormat="1" ht="18" customHeight="1">
      <c r="A37" s="1370" t="str">
        <f>[12]ESTIMACION!$D$17</f>
        <v>Impuesto sobre la propiedad de bienes inmuebles, Ley No. 7509</v>
      </c>
      <c r="B37" s="184"/>
      <c r="C37" s="187" t="s">
        <v>65</v>
      </c>
      <c r="D37" s="186" t="s">
        <v>41</v>
      </c>
      <c r="E37" s="186"/>
      <c r="F37" s="185" t="s">
        <v>294</v>
      </c>
      <c r="G37" s="184">
        <v>800</v>
      </c>
      <c r="H37" s="449"/>
      <c r="I37" s="201"/>
      <c r="J37" s="444">
        <f>B36*10%</f>
        <v>800</v>
      </c>
      <c r="K37" s="17">
        <f t="shared" ref="K37:K42" si="2">J37-G37</f>
        <v>0</v>
      </c>
      <c r="L37" s="17"/>
      <c r="M37" s="25"/>
      <c r="O37" s="1292">
        <f t="shared" si="0"/>
        <v>800</v>
      </c>
      <c r="P37" s="881"/>
      <c r="Q37" s="456"/>
      <c r="R37" s="20"/>
    </row>
    <row r="38" spans="1:18" s="16" customFormat="1">
      <c r="A38" s="1370"/>
      <c r="B38" s="184"/>
      <c r="C38" s="187" t="s">
        <v>65</v>
      </c>
      <c r="D38" s="186" t="s">
        <v>44</v>
      </c>
      <c r="E38" s="186"/>
      <c r="F38" s="185" t="s">
        <v>293</v>
      </c>
      <c r="G38" s="184">
        <v>800</v>
      </c>
      <c r="H38" s="449"/>
      <c r="I38" s="201"/>
      <c r="J38" s="444">
        <f>B36*10%</f>
        <v>800</v>
      </c>
      <c r="K38" s="17">
        <f t="shared" si="2"/>
        <v>0</v>
      </c>
      <c r="L38" s="17"/>
      <c r="M38" s="25"/>
      <c r="O38" s="1292">
        <f t="shared" si="0"/>
        <v>0</v>
      </c>
      <c r="P38" s="881"/>
      <c r="Q38" s="456"/>
      <c r="R38" s="20"/>
    </row>
    <row r="39" spans="1:18" s="16" customFormat="1">
      <c r="A39" s="1370"/>
      <c r="B39" s="184"/>
      <c r="C39" s="187" t="s">
        <v>65</v>
      </c>
      <c r="D39" s="186" t="s">
        <v>44</v>
      </c>
      <c r="E39" s="186"/>
      <c r="F39" s="185" t="s">
        <v>514</v>
      </c>
      <c r="G39" s="184">
        <v>240</v>
      </c>
      <c r="H39" s="449"/>
      <c r="I39" s="201"/>
      <c r="J39" s="444">
        <f>B36*3%</f>
        <v>240</v>
      </c>
      <c r="K39" s="17">
        <f t="shared" si="2"/>
        <v>0</v>
      </c>
      <c r="L39" s="17"/>
      <c r="M39" s="25"/>
      <c r="O39" s="1292">
        <f t="shared" si="0"/>
        <v>0</v>
      </c>
      <c r="P39" s="881"/>
      <c r="Q39" s="456"/>
      <c r="R39" s="20"/>
    </row>
    <row r="40" spans="1:18" s="16" customFormat="1">
      <c r="A40" s="181"/>
      <c r="B40" s="184"/>
      <c r="C40" s="187" t="s">
        <v>65</v>
      </c>
      <c r="D40" s="186" t="s">
        <v>44</v>
      </c>
      <c r="E40" s="186"/>
      <c r="F40" s="185" t="s">
        <v>515</v>
      </c>
      <c r="G40" s="184">
        <v>80</v>
      </c>
      <c r="H40" s="449"/>
      <c r="I40" s="201"/>
      <c r="J40" s="444">
        <f>B36*1%</f>
        <v>80</v>
      </c>
      <c r="K40" s="17">
        <f t="shared" si="2"/>
        <v>0</v>
      </c>
      <c r="L40" s="17"/>
      <c r="M40" s="25"/>
      <c r="O40" s="1292">
        <f t="shared" si="0"/>
        <v>0</v>
      </c>
      <c r="P40" s="881"/>
      <c r="Q40" s="456"/>
      <c r="R40" s="20"/>
    </row>
    <row r="41" spans="1:18" s="16" customFormat="1">
      <c r="A41" s="181"/>
      <c r="B41" s="184"/>
      <c r="C41" s="187" t="s">
        <v>65</v>
      </c>
      <c r="D41" s="186" t="s">
        <v>44</v>
      </c>
      <c r="E41" s="186"/>
      <c r="F41" s="185" t="s">
        <v>517</v>
      </c>
      <c r="G41" s="184">
        <v>160</v>
      </c>
      <c r="H41" s="449"/>
      <c r="I41" s="201"/>
      <c r="J41" s="444">
        <f>B36*2%</f>
        <v>160</v>
      </c>
      <c r="K41" s="17">
        <f t="shared" si="2"/>
        <v>0</v>
      </c>
      <c r="L41" s="17"/>
      <c r="M41" s="25"/>
      <c r="O41" s="1292">
        <f t="shared" si="0"/>
        <v>0</v>
      </c>
      <c r="P41" s="881"/>
      <c r="Q41" s="456"/>
      <c r="R41" s="20"/>
    </row>
    <row r="42" spans="1:18" s="16" customFormat="1">
      <c r="A42" s="181"/>
      <c r="B42" s="184"/>
      <c r="C42" s="187" t="s">
        <v>65</v>
      </c>
      <c r="D42" s="186" t="s">
        <v>44</v>
      </c>
      <c r="E42" s="186"/>
      <c r="F42" s="185" t="s">
        <v>516</v>
      </c>
      <c r="G42" s="184">
        <v>640</v>
      </c>
      <c r="H42" s="449"/>
      <c r="I42" s="201"/>
      <c r="J42" s="444">
        <f>B36*8%</f>
        <v>640</v>
      </c>
      <c r="K42" s="17">
        <f t="shared" si="2"/>
        <v>0</v>
      </c>
      <c r="L42" s="17"/>
      <c r="M42" s="25"/>
      <c r="O42" s="1292">
        <f t="shared" si="0"/>
        <v>0</v>
      </c>
      <c r="P42" s="881"/>
      <c r="Q42" s="456"/>
      <c r="R42" s="20"/>
    </row>
    <row r="43" spans="1:18" s="16" customFormat="1">
      <c r="A43" s="181"/>
      <c r="B43" s="184"/>
      <c r="C43" s="187" t="s">
        <v>56</v>
      </c>
      <c r="D43" s="186" t="s">
        <v>661</v>
      </c>
      <c r="E43" s="186"/>
      <c r="F43" s="183" t="s">
        <v>650</v>
      </c>
      <c r="G43" s="184">
        <v>5280</v>
      </c>
      <c r="H43" s="449"/>
      <c r="I43" s="201"/>
      <c r="J43" s="201"/>
      <c r="K43" s="17"/>
      <c r="L43" s="17"/>
      <c r="M43" s="25"/>
      <c r="O43" s="1292">
        <f t="shared" si="0"/>
        <v>0</v>
      </c>
      <c r="P43" s="881"/>
      <c r="Q43" s="456"/>
      <c r="R43" s="20"/>
    </row>
    <row r="44" spans="1:18" s="16" customFormat="1">
      <c r="A44" s="181"/>
      <c r="B44" s="184"/>
      <c r="C44" s="187"/>
      <c r="D44" s="186"/>
      <c r="E44" s="186"/>
      <c r="F44" s="185"/>
      <c r="G44" s="808"/>
      <c r="H44" s="449"/>
      <c r="I44" s="201"/>
      <c r="J44" s="25"/>
      <c r="K44" s="17"/>
      <c r="L44" s="17"/>
      <c r="M44" s="25"/>
      <c r="O44" s="1292">
        <f t="shared" si="0"/>
        <v>0</v>
      </c>
      <c r="P44" s="881"/>
      <c r="Q44" s="456"/>
      <c r="R44" s="20"/>
    </row>
    <row r="45" spans="1:18" s="16" customFormat="1">
      <c r="A45" s="181"/>
      <c r="B45" s="184"/>
      <c r="C45" s="187"/>
      <c r="D45" s="186"/>
      <c r="E45" s="186"/>
      <c r="F45" s="185"/>
      <c r="G45" s="808"/>
      <c r="H45" s="449"/>
      <c r="I45" s="201"/>
      <c r="J45" s="25"/>
      <c r="K45" s="17"/>
      <c r="L45" s="17"/>
      <c r="M45" s="25"/>
      <c r="O45" s="1292">
        <f t="shared" si="0"/>
        <v>0</v>
      </c>
      <c r="P45" s="881"/>
      <c r="Q45" s="456"/>
      <c r="R45" s="20"/>
    </row>
    <row r="46" spans="1:18" s="16" customFormat="1">
      <c r="A46" s="181" t="s">
        <v>175</v>
      </c>
      <c r="B46" s="184">
        <f>[12]ESTIMACION!$F$19</f>
        <v>50000</v>
      </c>
      <c r="C46" s="187"/>
      <c r="D46" s="186"/>
      <c r="E46" s="186"/>
      <c r="F46" s="185"/>
      <c r="G46" s="820">
        <f>SUM(G47:G47)</f>
        <v>50000</v>
      </c>
      <c r="H46" s="449">
        <f>B46-G46</f>
        <v>0</v>
      </c>
      <c r="I46" s="201"/>
      <c r="J46" s="25"/>
      <c r="K46" s="17"/>
      <c r="L46" s="17"/>
      <c r="M46" s="25"/>
      <c r="O46" s="1292">
        <f t="shared" si="0"/>
        <v>0</v>
      </c>
      <c r="P46" s="881"/>
      <c r="Q46" s="456"/>
      <c r="R46" s="20"/>
    </row>
    <row r="47" spans="1:18" s="16" customFormat="1" ht="45">
      <c r="A47" s="181" t="s">
        <v>1581</v>
      </c>
      <c r="B47" s="184"/>
      <c r="C47" s="187" t="s">
        <v>65</v>
      </c>
      <c r="D47" s="186" t="s">
        <v>41</v>
      </c>
      <c r="E47" s="186"/>
      <c r="F47" s="185" t="s">
        <v>294</v>
      </c>
      <c r="G47" s="184">
        <f>B46</f>
        <v>50000</v>
      </c>
      <c r="H47" s="1297"/>
      <c r="I47" s="201"/>
      <c r="J47" s="25"/>
      <c r="K47" s="17"/>
      <c r="L47" s="17"/>
      <c r="M47" s="25"/>
      <c r="O47" s="1292">
        <f t="shared" si="0"/>
        <v>50000</v>
      </c>
      <c r="P47" s="881"/>
      <c r="Q47" s="456"/>
      <c r="R47" s="20"/>
    </row>
    <row r="48" spans="1:18" s="16" customFormat="1">
      <c r="A48" s="181"/>
      <c r="B48" s="184"/>
      <c r="C48" s="187"/>
      <c r="D48" s="186"/>
      <c r="E48" s="186"/>
      <c r="F48" s="183"/>
      <c r="G48" s="184"/>
      <c r="H48" s="449"/>
      <c r="I48" s="201"/>
      <c r="J48" s="25"/>
      <c r="K48" s="17"/>
      <c r="L48" s="17"/>
      <c r="M48" s="25"/>
      <c r="O48" s="1292"/>
      <c r="P48" s="881"/>
      <c r="Q48" s="456"/>
      <c r="R48" s="20"/>
    </row>
    <row r="49" spans="1:18" s="16" customFormat="1">
      <c r="A49" s="181"/>
      <c r="B49" s="184"/>
      <c r="C49" s="187"/>
      <c r="D49" s="190"/>
      <c r="E49" s="190"/>
      <c r="F49" s="185"/>
      <c r="G49" s="807"/>
      <c r="H49" s="449"/>
      <c r="I49" s="201"/>
      <c r="J49" s="25"/>
      <c r="K49" s="17"/>
      <c r="L49" s="17"/>
      <c r="M49" s="25"/>
      <c r="O49" s="1292">
        <f t="shared" si="0"/>
        <v>0</v>
      </c>
      <c r="P49" s="881"/>
      <c r="Q49" s="456"/>
      <c r="R49" s="20"/>
    </row>
    <row r="50" spans="1:18" s="16" customFormat="1">
      <c r="A50" s="181" t="s">
        <v>177</v>
      </c>
      <c r="B50" s="184">
        <f>[12]ESTIMACION!$F$22</f>
        <v>35000000</v>
      </c>
      <c r="C50" s="187"/>
      <c r="D50" s="186"/>
      <c r="E50" s="186"/>
      <c r="F50" s="185"/>
      <c r="G50" s="820">
        <f>SUM(G51:G52)</f>
        <v>35000000</v>
      </c>
      <c r="H50" s="449">
        <f>B50-G50</f>
        <v>0</v>
      </c>
      <c r="I50" s="201"/>
      <c r="J50" s="25"/>
      <c r="K50" s="17"/>
      <c r="L50" s="17"/>
      <c r="M50" s="25"/>
      <c r="O50" s="1292">
        <f t="shared" si="0"/>
        <v>0</v>
      </c>
      <c r="P50" s="881"/>
      <c r="Q50" s="456"/>
      <c r="R50" s="20"/>
    </row>
    <row r="51" spans="1:18" s="16" customFormat="1" ht="45">
      <c r="A51" s="181" t="s">
        <v>1582</v>
      </c>
      <c r="B51" s="184"/>
      <c r="C51" s="187" t="s">
        <v>65</v>
      </c>
      <c r="D51" s="186" t="s">
        <v>41</v>
      </c>
      <c r="E51" s="186"/>
      <c r="F51" s="185" t="s">
        <v>294</v>
      </c>
      <c r="G51" s="184">
        <f>B50</f>
        <v>35000000</v>
      </c>
      <c r="H51" s="1297"/>
      <c r="I51" s="201"/>
      <c r="J51" s="25"/>
      <c r="K51" s="17"/>
      <c r="L51" s="17"/>
      <c r="M51" s="25"/>
      <c r="O51" s="1292">
        <f t="shared" si="0"/>
        <v>35000000</v>
      </c>
      <c r="P51" s="881"/>
      <c r="Q51" s="456"/>
      <c r="R51" s="20"/>
    </row>
    <row r="52" spans="1:18" s="16" customFormat="1">
      <c r="A52" s="181"/>
      <c r="B52" s="184"/>
      <c r="C52" s="187"/>
      <c r="D52" s="186"/>
      <c r="E52" s="186"/>
      <c r="F52" s="183"/>
      <c r="G52" s="184"/>
      <c r="H52" s="449"/>
      <c r="I52" s="201"/>
      <c r="J52" s="25"/>
      <c r="K52" s="17"/>
      <c r="L52" s="17"/>
      <c r="M52" s="25"/>
      <c r="O52" s="1292">
        <f t="shared" si="0"/>
        <v>0</v>
      </c>
      <c r="P52" s="881"/>
      <c r="Q52" s="456"/>
      <c r="R52" s="20"/>
    </row>
    <row r="53" spans="1:18" s="16" customFormat="1">
      <c r="A53" s="181"/>
      <c r="B53" s="184"/>
      <c r="C53" s="187"/>
      <c r="D53" s="186"/>
      <c r="E53" s="186"/>
      <c r="F53" s="183"/>
      <c r="G53" s="184"/>
      <c r="H53" s="449"/>
      <c r="I53" s="201"/>
      <c r="J53" s="25"/>
      <c r="K53" s="17"/>
      <c r="L53" s="17"/>
      <c r="M53" s="25"/>
      <c r="O53" s="1292"/>
      <c r="P53" s="881"/>
      <c r="Q53" s="456"/>
      <c r="R53" s="20"/>
    </row>
    <row r="54" spans="1:18" s="16" customFormat="1">
      <c r="A54" s="181"/>
      <c r="B54" s="184"/>
      <c r="C54" s="187"/>
      <c r="D54" s="190"/>
      <c r="E54" s="190"/>
      <c r="F54" s="185"/>
      <c r="G54" s="807"/>
      <c r="H54" s="449"/>
      <c r="I54" s="201"/>
      <c r="J54" s="25"/>
      <c r="K54" s="17"/>
      <c r="L54" s="17"/>
      <c r="M54" s="25"/>
      <c r="O54" s="1292">
        <f t="shared" si="0"/>
        <v>0</v>
      </c>
      <c r="P54" s="881"/>
      <c r="Q54" s="456"/>
      <c r="R54" s="20"/>
    </row>
    <row r="55" spans="1:18" s="16" customFormat="1">
      <c r="A55" s="181" t="s">
        <v>1131</v>
      </c>
      <c r="B55" s="184">
        <f>[12]ESTIMACION!$E$31</f>
        <v>1350000</v>
      </c>
      <c r="C55" s="187"/>
      <c r="D55" s="186"/>
      <c r="E55" s="186"/>
      <c r="F55" s="185"/>
      <c r="G55" s="820">
        <f>SUM(G56:G57)</f>
        <v>1350000</v>
      </c>
      <c r="H55" s="449">
        <f>B55-G55</f>
        <v>0</v>
      </c>
      <c r="I55" s="201"/>
      <c r="J55" s="25"/>
      <c r="K55" s="17"/>
      <c r="L55" s="17"/>
      <c r="M55" s="25"/>
      <c r="O55" s="1292">
        <f t="shared" si="0"/>
        <v>0</v>
      </c>
      <c r="P55" s="881"/>
      <c r="Q55" s="456"/>
      <c r="R55" s="20"/>
    </row>
    <row r="56" spans="1:18" s="16" customFormat="1">
      <c r="A56" s="181" t="str">
        <f>[12]ESTIMACION!$D$31</f>
        <v>Impuesto sobre el cemento.</v>
      </c>
      <c r="B56" s="184"/>
      <c r="C56" s="187" t="s">
        <v>56</v>
      </c>
      <c r="D56" s="186" t="s">
        <v>526</v>
      </c>
      <c r="E56" s="186"/>
      <c r="F56" s="183" t="s">
        <v>540</v>
      </c>
      <c r="G56" s="184">
        <v>1350000</v>
      </c>
      <c r="H56" s="449"/>
      <c r="I56" s="201"/>
      <c r="J56" s="25"/>
      <c r="K56" s="17"/>
      <c r="L56" s="17"/>
      <c r="M56" s="25"/>
      <c r="O56" s="1292">
        <f t="shared" si="0"/>
        <v>0</v>
      </c>
      <c r="P56" s="881"/>
      <c r="Q56" s="456"/>
      <c r="R56" s="20"/>
    </row>
    <row r="57" spans="1:18" s="16" customFormat="1">
      <c r="A57" s="181"/>
      <c r="B57" s="184"/>
      <c r="C57" s="187"/>
      <c r="D57" s="190"/>
      <c r="E57" s="190"/>
      <c r="F57" s="185"/>
      <c r="G57" s="807"/>
      <c r="H57" s="449"/>
      <c r="I57" s="201"/>
      <c r="J57" s="25"/>
      <c r="K57" s="17"/>
      <c r="L57" s="17"/>
      <c r="M57" s="25"/>
      <c r="O57" s="1292">
        <f t="shared" si="0"/>
        <v>0</v>
      </c>
      <c r="P57" s="881"/>
      <c r="Q57" s="456"/>
      <c r="R57" s="20"/>
    </row>
    <row r="58" spans="1:18" s="16" customFormat="1">
      <c r="A58" s="181"/>
      <c r="B58" s="184"/>
      <c r="C58" s="187"/>
      <c r="D58" s="190"/>
      <c r="E58" s="190"/>
      <c r="F58" s="185"/>
      <c r="G58" s="807"/>
      <c r="H58" s="449"/>
      <c r="I58" s="201"/>
      <c r="J58" s="25"/>
      <c r="K58" s="17"/>
      <c r="L58" s="17"/>
      <c r="M58" s="25"/>
      <c r="O58" s="1292">
        <f t="shared" si="0"/>
        <v>0</v>
      </c>
      <c r="P58" s="881"/>
      <c r="Q58" s="456"/>
      <c r="R58" s="20"/>
    </row>
    <row r="59" spans="1:18" s="16" customFormat="1">
      <c r="A59" s="181" t="s">
        <v>185</v>
      </c>
      <c r="B59" s="184">
        <f>[12]ESTIMACION!$E$33</f>
        <v>142000000</v>
      </c>
      <c r="C59" s="187"/>
      <c r="D59" s="186"/>
      <c r="E59" s="186"/>
      <c r="F59" s="185"/>
      <c r="G59" s="820">
        <f>SUM(G60:G61)</f>
        <v>142000000</v>
      </c>
      <c r="H59" s="449">
        <f>B59-G59</f>
        <v>0</v>
      </c>
      <c r="I59" s="201"/>
      <c r="J59" s="25"/>
      <c r="K59" s="17"/>
      <c r="L59" s="17"/>
      <c r="M59" s="25"/>
      <c r="O59" s="1292">
        <f t="shared" si="0"/>
        <v>0</v>
      </c>
      <c r="P59" s="881"/>
      <c r="Q59" s="456"/>
      <c r="R59" s="20"/>
    </row>
    <row r="60" spans="1:18" s="16" customFormat="1" ht="30">
      <c r="A60" s="181" t="s">
        <v>186</v>
      </c>
      <c r="B60" s="184"/>
      <c r="C60" s="187" t="s">
        <v>65</v>
      </c>
      <c r="D60" s="186" t="s">
        <v>41</v>
      </c>
      <c r="E60" s="186"/>
      <c r="F60" s="185" t="s">
        <v>294</v>
      </c>
      <c r="G60" s="184">
        <f>B59</f>
        <v>142000000</v>
      </c>
      <c r="H60" s="1297"/>
      <c r="I60" s="201"/>
      <c r="J60" s="25"/>
      <c r="K60" s="17"/>
      <c r="L60" s="17"/>
      <c r="M60" s="25"/>
      <c r="O60" s="1292">
        <f t="shared" si="0"/>
        <v>142000000</v>
      </c>
      <c r="P60" s="881"/>
      <c r="Q60" s="456"/>
      <c r="R60" s="20"/>
    </row>
    <row r="61" spans="1:18" s="16" customFormat="1">
      <c r="A61" s="181"/>
      <c r="B61" s="184"/>
      <c r="C61" s="187"/>
      <c r="D61" s="186"/>
      <c r="E61" s="186"/>
      <c r="F61" s="183"/>
      <c r="G61" s="184"/>
      <c r="H61" s="449"/>
      <c r="I61" s="201"/>
      <c r="J61" s="25"/>
      <c r="K61" s="17"/>
      <c r="L61" s="17"/>
      <c r="M61" s="25"/>
      <c r="O61" s="1292">
        <f t="shared" si="0"/>
        <v>0</v>
      </c>
      <c r="P61" s="881"/>
      <c r="Q61" s="456"/>
      <c r="R61" s="20"/>
    </row>
    <row r="62" spans="1:18" s="16" customFormat="1">
      <c r="A62" s="181"/>
      <c r="B62" s="184"/>
      <c r="C62" s="187"/>
      <c r="D62" s="190"/>
      <c r="E62" s="190"/>
      <c r="F62" s="185"/>
      <c r="G62" s="807"/>
      <c r="H62" s="449"/>
      <c r="I62" s="201"/>
      <c r="J62" s="25"/>
      <c r="K62" s="17"/>
      <c r="L62" s="17"/>
      <c r="M62" s="25"/>
      <c r="O62" s="1292">
        <f t="shared" si="0"/>
        <v>0</v>
      </c>
      <c r="P62" s="881"/>
      <c r="Q62" s="456"/>
      <c r="R62" s="20"/>
    </row>
    <row r="63" spans="1:18" s="16" customFormat="1">
      <c r="A63" s="181" t="s">
        <v>303</v>
      </c>
      <c r="B63" s="184">
        <f>[12]ESTIMACION!$E$39</f>
        <v>13000000</v>
      </c>
      <c r="C63" s="187"/>
      <c r="D63" s="186"/>
      <c r="E63" s="186"/>
      <c r="F63" s="185"/>
      <c r="G63" s="820">
        <f>SUM(G64:G66)</f>
        <v>13000000</v>
      </c>
      <c r="H63" s="449">
        <f>B63-G63</f>
        <v>0</v>
      </c>
      <c r="I63" s="201"/>
      <c r="J63" s="25"/>
      <c r="K63" s="17"/>
      <c r="L63" s="17"/>
      <c r="M63" s="25"/>
      <c r="O63" s="1292">
        <f t="shared" si="0"/>
        <v>0</v>
      </c>
      <c r="P63" s="881"/>
      <c r="Q63" s="456"/>
      <c r="R63" s="20"/>
    </row>
    <row r="64" spans="1:18" s="16" customFormat="1" ht="30">
      <c r="A64" s="181" t="str">
        <f>[12]ESTIMACION!$D$39</f>
        <v>Impuesto sobre espectáculos públicos 6%</v>
      </c>
      <c r="B64" s="184"/>
      <c r="C64" s="188" t="s">
        <v>56</v>
      </c>
      <c r="D64" s="189" t="s">
        <v>46</v>
      </c>
      <c r="E64" s="189"/>
      <c r="F64" s="183" t="s">
        <v>995</v>
      </c>
      <c r="G64" s="184">
        <v>6500000</v>
      </c>
      <c r="H64" s="449"/>
      <c r="I64" s="201"/>
      <c r="J64" s="795">
        <f>[1]GASTOS!$AF$339</f>
        <v>6500000</v>
      </c>
      <c r="K64" s="17">
        <f>J64-G64</f>
        <v>0</v>
      </c>
      <c r="L64" s="17"/>
      <c r="M64" s="25"/>
      <c r="O64" s="1292">
        <f t="shared" si="0"/>
        <v>0</v>
      </c>
      <c r="P64" s="881"/>
      <c r="Q64" s="456"/>
      <c r="R64" s="20"/>
    </row>
    <row r="65" spans="1:18" s="16" customFormat="1" ht="30">
      <c r="A65" s="89"/>
      <c r="B65" s="184"/>
      <c r="C65" s="187" t="s">
        <v>56</v>
      </c>
      <c r="D65" s="190" t="s">
        <v>46</v>
      </c>
      <c r="E65" s="190"/>
      <c r="F65" s="183" t="s">
        <v>996</v>
      </c>
      <c r="G65" s="184">
        <v>6500000</v>
      </c>
      <c r="H65" s="449"/>
      <c r="I65" s="201"/>
      <c r="J65" s="795">
        <f>[1]GASTOS!$AE$339</f>
        <v>6500000</v>
      </c>
      <c r="K65" s="17">
        <f>J65-G65</f>
        <v>0</v>
      </c>
      <c r="L65" s="17"/>
      <c r="M65" s="25"/>
      <c r="O65" s="1292">
        <f t="shared" si="0"/>
        <v>0</v>
      </c>
      <c r="P65" s="881"/>
      <c r="Q65" s="456"/>
      <c r="R65" s="20"/>
    </row>
    <row r="66" spans="1:18" s="16" customFormat="1">
      <c r="A66" s="181"/>
      <c r="B66" s="184"/>
      <c r="C66" s="187"/>
      <c r="D66" s="190"/>
      <c r="E66" s="190"/>
      <c r="F66" s="185"/>
      <c r="G66" s="807"/>
      <c r="H66" s="449"/>
      <c r="I66" s="201"/>
      <c r="J66" s="25"/>
      <c r="K66" s="17"/>
      <c r="L66" s="17"/>
      <c r="M66" s="25"/>
      <c r="O66" s="1292">
        <f t="shared" si="0"/>
        <v>0</v>
      </c>
      <c r="P66" s="881"/>
      <c r="Q66" s="456"/>
      <c r="R66" s="20"/>
    </row>
    <row r="67" spans="1:18" s="16" customFormat="1">
      <c r="A67" s="181"/>
      <c r="B67" s="184"/>
      <c r="C67" s="187"/>
      <c r="D67" s="190"/>
      <c r="E67" s="190"/>
      <c r="F67" s="185"/>
      <c r="G67" s="807"/>
      <c r="H67" s="449"/>
      <c r="I67" s="201"/>
      <c r="J67" s="25"/>
      <c r="K67" s="17"/>
      <c r="L67" s="17"/>
      <c r="M67" s="25"/>
      <c r="O67" s="1292">
        <f t="shared" si="0"/>
        <v>0</v>
      </c>
      <c r="P67" s="881"/>
      <c r="Q67" s="456"/>
      <c r="R67" s="20"/>
    </row>
    <row r="68" spans="1:18" s="16" customFormat="1">
      <c r="A68" s="181"/>
      <c r="B68" s="184"/>
      <c r="C68" s="187"/>
      <c r="D68" s="190"/>
      <c r="E68" s="190"/>
      <c r="F68" s="185"/>
      <c r="G68" s="807"/>
      <c r="H68" s="449"/>
      <c r="I68" s="201"/>
      <c r="J68" s="25"/>
      <c r="K68" s="17"/>
      <c r="L68" s="17"/>
      <c r="M68" s="25"/>
      <c r="O68" s="1292">
        <f t="shared" si="0"/>
        <v>0</v>
      </c>
      <c r="P68" s="881"/>
      <c r="Q68" s="456"/>
      <c r="R68" s="20"/>
    </row>
    <row r="69" spans="1:18" s="16" customFormat="1">
      <c r="A69" s="181" t="s">
        <v>1565</v>
      </c>
      <c r="B69" s="184">
        <f>[12]ESTIMACION!$E$40</f>
        <v>12000000</v>
      </c>
      <c r="C69" s="187"/>
      <c r="D69" s="186"/>
      <c r="E69" s="186"/>
      <c r="F69" s="185"/>
      <c r="G69" s="820">
        <f>SUM(G70:G71)</f>
        <v>12000000</v>
      </c>
      <c r="H69" s="449">
        <f>B69-G69</f>
        <v>0</v>
      </c>
      <c r="I69" s="201"/>
      <c r="J69" s="25"/>
      <c r="K69" s="17"/>
      <c r="L69" s="17"/>
      <c r="M69" s="25"/>
      <c r="O69" s="1292">
        <f t="shared" si="0"/>
        <v>0</v>
      </c>
      <c r="P69" s="881"/>
      <c r="Q69" s="456"/>
      <c r="R69" s="20"/>
    </row>
    <row r="70" spans="1:18" s="16" customFormat="1" ht="60">
      <c r="A70" s="181" t="s">
        <v>1584</v>
      </c>
      <c r="B70" s="184"/>
      <c r="C70" s="187" t="s">
        <v>65</v>
      </c>
      <c r="D70" s="186" t="s">
        <v>41</v>
      </c>
      <c r="E70" s="186"/>
      <c r="F70" s="185" t="s">
        <v>294</v>
      </c>
      <c r="G70" s="184">
        <f>B69</f>
        <v>12000000</v>
      </c>
      <c r="H70" s="1297"/>
      <c r="I70" s="201"/>
      <c r="J70" s="25"/>
      <c r="K70" s="17"/>
      <c r="L70" s="17"/>
      <c r="M70" s="25"/>
      <c r="O70" s="1292">
        <f t="shared" si="0"/>
        <v>12000000</v>
      </c>
      <c r="P70" s="881"/>
      <c r="Q70" s="456"/>
      <c r="R70" s="20"/>
    </row>
    <row r="71" spans="1:18" s="16" customFormat="1">
      <c r="A71" s="181"/>
      <c r="B71" s="184"/>
      <c r="C71" s="187"/>
      <c r="D71" s="186"/>
      <c r="E71" s="186"/>
      <c r="F71" s="183"/>
      <c r="G71" s="184"/>
      <c r="H71" s="449"/>
      <c r="I71" s="201"/>
      <c r="J71" s="25"/>
      <c r="K71" s="17"/>
      <c r="L71" s="17"/>
      <c r="M71" s="25"/>
      <c r="O71" s="1292">
        <f t="shared" si="0"/>
        <v>0</v>
      </c>
      <c r="P71" s="881"/>
      <c r="Q71" s="456"/>
      <c r="R71" s="20"/>
    </row>
    <row r="72" spans="1:18" s="16" customFormat="1">
      <c r="A72" s="181"/>
      <c r="B72" s="184"/>
      <c r="C72" s="187"/>
      <c r="D72" s="190"/>
      <c r="E72" s="190"/>
      <c r="F72" s="185"/>
      <c r="G72" s="807"/>
      <c r="H72" s="449"/>
      <c r="I72" s="201"/>
      <c r="J72" s="25"/>
      <c r="K72" s="17"/>
      <c r="L72" s="17"/>
      <c r="M72" s="25"/>
      <c r="O72" s="1292">
        <f t="shared" si="0"/>
        <v>0</v>
      </c>
      <c r="P72" s="881"/>
      <c r="Q72" s="456"/>
      <c r="R72" s="20"/>
    </row>
    <row r="73" spans="1:18" s="16" customFormat="1">
      <c r="A73" s="1285" t="s">
        <v>1566</v>
      </c>
      <c r="B73" s="184">
        <f>[12]ESTIMACION!$E$47</f>
        <v>980000000</v>
      </c>
      <c r="C73" s="187"/>
      <c r="D73" s="186"/>
      <c r="E73" s="186"/>
      <c r="F73" s="185"/>
      <c r="G73" s="820">
        <f>SUM(G74:G89)</f>
        <v>980000000</v>
      </c>
      <c r="H73" s="449">
        <f>B73-G73</f>
        <v>0</v>
      </c>
      <c r="I73" s="201"/>
      <c r="J73" s="25"/>
      <c r="K73" s="17"/>
      <c r="L73" s="17"/>
      <c r="M73" s="25"/>
      <c r="O73" s="1292">
        <f t="shared" si="0"/>
        <v>0</v>
      </c>
      <c r="P73" s="881"/>
      <c r="Q73" s="456"/>
      <c r="R73" s="20"/>
    </row>
    <row r="74" spans="1:18" s="16" customFormat="1">
      <c r="A74" s="1285" t="s">
        <v>1569</v>
      </c>
      <c r="B74" s="184"/>
      <c r="C74" s="187" t="s">
        <v>65</v>
      </c>
      <c r="D74" s="186" t="s">
        <v>41</v>
      </c>
      <c r="E74" s="186"/>
      <c r="F74" s="185" t="s">
        <v>294</v>
      </c>
      <c r="G74" s="184">
        <f>773954436.1-29092353+777738</f>
        <v>745639821.10000002</v>
      </c>
      <c r="H74" s="449"/>
      <c r="I74" s="201"/>
      <c r="J74" s="444">
        <f>B73*10%</f>
        <v>98000000</v>
      </c>
      <c r="K74" s="17">
        <f>J74-G74</f>
        <v>-647639821.10000002</v>
      </c>
      <c r="L74" s="17"/>
      <c r="M74" s="25"/>
      <c r="O74" s="1292">
        <f t="shared" si="0"/>
        <v>745639821.10000002</v>
      </c>
      <c r="P74" s="881"/>
      <c r="Q74" s="456"/>
      <c r="R74" s="20"/>
    </row>
    <row r="75" spans="1:18" s="16" customFormat="1">
      <c r="A75" s="181"/>
      <c r="B75" s="184"/>
      <c r="C75" s="187" t="s">
        <v>65</v>
      </c>
      <c r="D75" s="186" t="s">
        <v>45</v>
      </c>
      <c r="E75" s="186"/>
      <c r="F75" s="183" t="s">
        <v>1585</v>
      </c>
      <c r="G75" s="184">
        <v>90044222</v>
      </c>
      <c r="H75" s="449"/>
      <c r="I75" s="201"/>
      <c r="J75" s="795">
        <f>[1]GASTOS!$M$339</f>
        <v>90044222</v>
      </c>
      <c r="K75" s="17">
        <f>J75-G75</f>
        <v>0</v>
      </c>
      <c r="L75" s="17"/>
      <c r="M75" s="25"/>
      <c r="O75" s="1292"/>
      <c r="P75" s="881"/>
      <c r="Q75" s="456"/>
      <c r="R75" s="20"/>
    </row>
    <row r="76" spans="1:18" s="16" customFormat="1" ht="30">
      <c r="A76" s="181"/>
      <c r="B76" s="184"/>
      <c r="C76" s="187" t="s">
        <v>65</v>
      </c>
      <c r="D76" s="186" t="s">
        <v>526</v>
      </c>
      <c r="E76" s="186"/>
      <c r="F76" s="183" t="s">
        <v>1586</v>
      </c>
      <c r="G76" s="184">
        <v>71059895</v>
      </c>
      <c r="H76" s="449"/>
      <c r="I76" s="201"/>
      <c r="J76" s="795">
        <f>[1]GASTOS!$N$339</f>
        <v>71059895</v>
      </c>
      <c r="K76" s="17">
        <f>J76-G76</f>
        <v>0</v>
      </c>
      <c r="L76" s="17"/>
      <c r="M76" s="25"/>
      <c r="O76" s="1292"/>
      <c r="P76" s="881"/>
      <c r="Q76" s="456"/>
      <c r="R76" s="20"/>
    </row>
    <row r="77" spans="1:18" s="16" customFormat="1">
      <c r="A77" s="181"/>
      <c r="B77" s="184"/>
      <c r="C77" s="187" t="s">
        <v>65</v>
      </c>
      <c r="D77" s="186" t="s">
        <v>44</v>
      </c>
      <c r="E77" s="186"/>
      <c r="F77" s="183" t="s">
        <v>1587</v>
      </c>
      <c r="G77" s="184">
        <v>6098000</v>
      </c>
      <c r="H77" s="449" t="s">
        <v>1637</v>
      </c>
      <c r="I77" s="201"/>
      <c r="J77" s="25"/>
      <c r="K77" s="17"/>
      <c r="L77" s="17"/>
      <c r="M77" s="25"/>
      <c r="O77" s="1292"/>
      <c r="P77" s="881"/>
      <c r="Q77" s="456"/>
      <c r="R77" s="20"/>
    </row>
    <row r="78" spans="1:18" s="16" customFormat="1">
      <c r="A78" s="181"/>
      <c r="B78" s="184"/>
      <c r="C78" s="187" t="s">
        <v>56</v>
      </c>
      <c r="D78" s="186" t="s">
        <v>81</v>
      </c>
      <c r="E78" s="186"/>
      <c r="F78" s="183" t="s">
        <v>540</v>
      </c>
      <c r="G78" s="184">
        <v>663734</v>
      </c>
      <c r="H78" s="449"/>
      <c r="I78" s="201"/>
      <c r="J78" s="25"/>
      <c r="K78" s="17"/>
      <c r="L78" s="17"/>
      <c r="M78" s="25"/>
      <c r="O78" s="1292"/>
      <c r="P78" s="881"/>
      <c r="Q78" s="456"/>
      <c r="R78" s="20"/>
    </row>
    <row r="79" spans="1:18" s="16" customFormat="1">
      <c r="A79" s="181"/>
      <c r="B79" s="184"/>
      <c r="C79" s="187" t="s">
        <v>56</v>
      </c>
      <c r="D79" s="186" t="s">
        <v>38</v>
      </c>
      <c r="E79" s="186"/>
      <c r="F79" s="183" t="s">
        <v>257</v>
      </c>
      <c r="G79" s="184">
        <f>11236078-10000000</f>
        <v>1236078</v>
      </c>
      <c r="H79" s="449"/>
      <c r="I79" s="201"/>
      <c r="J79" s="25"/>
      <c r="K79" s="17"/>
      <c r="L79" s="17"/>
      <c r="M79" s="25"/>
      <c r="O79" s="1292"/>
      <c r="P79" s="881"/>
      <c r="Q79" s="456"/>
      <c r="R79" s="20"/>
    </row>
    <row r="80" spans="1:18" s="16" customFormat="1" ht="30">
      <c r="A80" s="181"/>
      <c r="B80" s="184"/>
      <c r="C80" s="187" t="s">
        <v>56</v>
      </c>
      <c r="D80" s="186" t="s">
        <v>39</v>
      </c>
      <c r="E80" s="186"/>
      <c r="F80" s="183" t="s">
        <v>1641</v>
      </c>
      <c r="G80" s="184">
        <v>15282666</v>
      </c>
      <c r="H80" s="449"/>
      <c r="I80" s="201"/>
      <c r="J80" s="25"/>
      <c r="K80" s="17"/>
      <c r="L80" s="17"/>
      <c r="M80" s="25"/>
      <c r="O80" s="1292"/>
      <c r="P80" s="881"/>
      <c r="Q80" s="456"/>
      <c r="R80" s="20"/>
    </row>
    <row r="81" spans="1:18" s="16" customFormat="1" ht="30">
      <c r="A81" s="181"/>
      <c r="B81" s="184"/>
      <c r="C81" s="187" t="s">
        <v>56</v>
      </c>
      <c r="D81" s="186" t="s">
        <v>39</v>
      </c>
      <c r="E81" s="186"/>
      <c r="F81" s="183" t="s">
        <v>1588</v>
      </c>
      <c r="G81" s="184">
        <v>11849992</v>
      </c>
      <c r="H81" s="449"/>
      <c r="I81" s="201"/>
      <c r="J81" s="795">
        <f>[1]GASTOS!$AA$339</f>
        <v>52764304</v>
      </c>
      <c r="K81" s="17">
        <f>J81-G81</f>
        <v>40914312</v>
      </c>
      <c r="L81" s="17"/>
      <c r="M81" s="25"/>
      <c r="O81" s="1292"/>
      <c r="P81" s="881"/>
      <c r="Q81" s="456"/>
      <c r="R81" s="20"/>
    </row>
    <row r="82" spans="1:18" s="16" customFormat="1" ht="30">
      <c r="A82" s="181"/>
      <c r="B82" s="184"/>
      <c r="C82" s="187" t="s">
        <v>56</v>
      </c>
      <c r="D82" s="186" t="s">
        <v>90</v>
      </c>
      <c r="E82" s="186"/>
      <c r="F82" s="183" t="s">
        <v>1589</v>
      </c>
      <c r="G82" s="184">
        <f>8262291</f>
        <v>8262291</v>
      </c>
      <c r="H82" s="449"/>
      <c r="I82" s="201"/>
      <c r="J82" s="25"/>
      <c r="K82" s="17"/>
      <c r="L82" s="17"/>
      <c r="M82" s="25"/>
      <c r="O82" s="1292"/>
      <c r="P82" s="881"/>
      <c r="Q82" s="456"/>
      <c r="R82" s="20"/>
    </row>
    <row r="83" spans="1:18" s="16" customFormat="1">
      <c r="A83" s="181"/>
      <c r="B83" s="184"/>
      <c r="C83" s="187" t="s">
        <v>56</v>
      </c>
      <c r="D83" s="186" t="s">
        <v>1097</v>
      </c>
      <c r="E83" s="186"/>
      <c r="F83" s="183" t="s">
        <v>601</v>
      </c>
      <c r="G83" s="184">
        <f>8000000</f>
        <v>8000000</v>
      </c>
      <c r="H83" s="449"/>
      <c r="I83" s="201"/>
      <c r="J83" s="25"/>
      <c r="K83" s="17"/>
      <c r="L83" s="17"/>
      <c r="M83" s="25"/>
      <c r="O83" s="1292"/>
      <c r="P83" s="881"/>
      <c r="Q83" s="456"/>
      <c r="R83" s="20"/>
    </row>
    <row r="84" spans="1:18" s="16" customFormat="1">
      <c r="A84" s="181"/>
      <c r="B84" s="184"/>
      <c r="C84" s="187" t="s">
        <v>56</v>
      </c>
      <c r="D84" s="186" t="s">
        <v>661</v>
      </c>
      <c r="E84" s="186"/>
      <c r="F84" s="183" t="s">
        <v>650</v>
      </c>
      <c r="G84" s="184">
        <f>6843705.4-65529</f>
        <v>6778176.4000000004</v>
      </c>
      <c r="H84" s="449"/>
      <c r="I84" s="201"/>
      <c r="J84" s="25"/>
      <c r="K84" s="17"/>
      <c r="L84" s="17"/>
      <c r="M84" s="25"/>
      <c r="O84" s="1292"/>
      <c r="P84" s="881"/>
      <c r="Q84" s="456"/>
      <c r="R84" s="20"/>
    </row>
    <row r="85" spans="1:18" s="16" customFormat="1">
      <c r="A85" s="181"/>
      <c r="B85" s="184"/>
      <c r="C85" s="187" t="s">
        <v>56</v>
      </c>
      <c r="D85" s="186" t="s">
        <v>1128</v>
      </c>
      <c r="E85" s="186"/>
      <c r="F85" s="183" t="s">
        <v>9</v>
      </c>
      <c r="G85" s="184">
        <v>1247486</v>
      </c>
      <c r="H85" s="449"/>
      <c r="I85" s="201"/>
      <c r="J85" s="25"/>
      <c r="K85" s="17"/>
      <c r="L85" s="17"/>
      <c r="M85" s="25"/>
      <c r="O85" s="1292"/>
      <c r="P85" s="881"/>
      <c r="Q85" s="456"/>
      <c r="R85" s="20"/>
    </row>
    <row r="86" spans="1:18" s="16" customFormat="1">
      <c r="A86" s="181"/>
      <c r="B86" s="184"/>
      <c r="C86" s="187" t="s">
        <v>56</v>
      </c>
      <c r="D86" s="186" t="s">
        <v>537</v>
      </c>
      <c r="E86" s="186"/>
      <c r="F86" s="183" t="s">
        <v>1599</v>
      </c>
      <c r="G86" s="184">
        <f>5000000-1582760.5-2698599</f>
        <v>718640.5</v>
      </c>
      <c r="H86" s="449"/>
      <c r="I86" s="201"/>
      <c r="J86" s="25"/>
      <c r="K86" s="17"/>
      <c r="L86" s="17"/>
      <c r="M86" s="25"/>
      <c r="O86" s="1292"/>
      <c r="P86" s="881"/>
      <c r="Q86" s="456"/>
      <c r="R86" s="20"/>
    </row>
    <row r="87" spans="1:18" s="16" customFormat="1">
      <c r="A87" s="181"/>
      <c r="B87" s="184"/>
      <c r="C87" s="187" t="s">
        <v>66</v>
      </c>
      <c r="D87" s="186" t="s">
        <v>85</v>
      </c>
      <c r="E87" s="186" t="s">
        <v>77</v>
      </c>
      <c r="F87" s="183" t="s">
        <v>1218</v>
      </c>
      <c r="G87" s="184">
        <v>13118998</v>
      </c>
      <c r="H87" s="449"/>
      <c r="I87" s="201"/>
      <c r="J87" s="25"/>
      <c r="K87" s="17"/>
      <c r="L87" s="17"/>
      <c r="M87" s="25"/>
      <c r="O87" s="1292"/>
      <c r="P87" s="881"/>
      <c r="Q87" s="456"/>
      <c r="R87" s="20"/>
    </row>
    <row r="88" spans="1:18" s="16" customFormat="1" hidden="1">
      <c r="A88" s="181"/>
      <c r="B88" s="184"/>
      <c r="C88" s="187"/>
      <c r="D88" s="186"/>
      <c r="E88" s="186"/>
      <c r="F88" s="183"/>
      <c r="G88" s="184"/>
      <c r="H88" s="449"/>
      <c r="I88" s="201"/>
      <c r="J88" s="25"/>
      <c r="K88" s="17"/>
      <c r="L88" s="17"/>
      <c r="M88" s="25"/>
      <c r="O88" s="1292"/>
      <c r="P88" s="881"/>
      <c r="Q88" s="456"/>
      <c r="R88" s="20"/>
    </row>
    <row r="89" spans="1:18" s="16" customFormat="1">
      <c r="A89" s="181"/>
      <c r="B89" s="184"/>
      <c r="C89" s="187"/>
      <c r="D89" s="186"/>
      <c r="E89" s="186"/>
      <c r="F89" s="183"/>
      <c r="G89" s="184"/>
      <c r="H89" s="449"/>
      <c r="I89" s="201"/>
      <c r="J89" s="25"/>
      <c r="K89" s="17"/>
      <c r="L89" s="17"/>
      <c r="M89" s="25"/>
      <c r="O89" s="1292">
        <f t="shared" ref="O89:O162" si="3">IF(F89="Administración General",G89,0)</f>
        <v>0</v>
      </c>
      <c r="P89" s="881"/>
      <c r="Q89" s="456"/>
      <c r="R89" s="20"/>
    </row>
    <row r="90" spans="1:18" s="16" customFormat="1">
      <c r="A90" s="181"/>
      <c r="B90" s="184"/>
      <c r="C90" s="187"/>
      <c r="D90" s="190"/>
      <c r="E90" s="190"/>
      <c r="F90" s="185"/>
      <c r="G90" s="807"/>
      <c r="H90" s="449"/>
      <c r="I90" s="201"/>
      <c r="J90" s="25"/>
      <c r="K90" s="17"/>
      <c r="L90" s="17"/>
      <c r="M90" s="25"/>
      <c r="O90" s="1292">
        <f t="shared" si="3"/>
        <v>0</v>
      </c>
      <c r="P90" s="881"/>
      <c r="Q90" s="456"/>
      <c r="R90" s="20"/>
    </row>
    <row r="91" spans="1:18" s="16" customFormat="1">
      <c r="A91" s="1285" t="s">
        <v>1566</v>
      </c>
      <c r="B91" s="184">
        <f>[12]ESTIMACION!$E$48</f>
        <v>276000000</v>
      </c>
      <c r="C91" s="187"/>
      <c r="D91" s="186"/>
      <c r="E91" s="186"/>
      <c r="F91" s="185"/>
      <c r="G91" s="820">
        <f>SUM(G92:G100)</f>
        <v>276000000</v>
      </c>
      <c r="H91" s="449">
        <f>B91-G91</f>
        <v>0</v>
      </c>
      <c r="I91" s="201"/>
      <c r="J91" s="25"/>
      <c r="K91" s="17"/>
      <c r="L91" s="17"/>
      <c r="M91" s="25"/>
      <c r="O91" s="1292">
        <f t="shared" si="3"/>
        <v>0</v>
      </c>
      <c r="P91" s="881"/>
      <c r="Q91" s="456"/>
      <c r="R91" s="20"/>
    </row>
    <row r="92" spans="1:18" s="16" customFormat="1" ht="15.75">
      <c r="A92" s="1285" t="s">
        <v>1568</v>
      </c>
      <c r="B92" s="184"/>
      <c r="C92" s="187" t="s">
        <v>1120</v>
      </c>
      <c r="D92" s="190" t="s">
        <v>77</v>
      </c>
      <c r="E92" s="190"/>
      <c r="F92" s="185" t="s">
        <v>294</v>
      </c>
      <c r="G92" s="184">
        <v>136620000</v>
      </c>
      <c r="H92" s="449"/>
      <c r="J92" s="444">
        <f>B91*49.5%</f>
        <v>136620000</v>
      </c>
      <c r="K92" s="17">
        <f>J92-G92</f>
        <v>0</v>
      </c>
      <c r="L92" s="17"/>
      <c r="M92" s="25"/>
      <c r="O92" s="1292">
        <f t="shared" si="3"/>
        <v>136620000</v>
      </c>
      <c r="P92" s="881"/>
      <c r="Q92" s="456"/>
      <c r="R92" s="20"/>
    </row>
    <row r="93" spans="1:18" s="16" customFormat="1">
      <c r="A93" s="181"/>
      <c r="B93" s="184"/>
      <c r="C93" s="187" t="s">
        <v>65</v>
      </c>
      <c r="D93" s="186" t="s">
        <v>44</v>
      </c>
      <c r="E93" s="186"/>
      <c r="F93" s="183" t="s">
        <v>1587</v>
      </c>
      <c r="G93" s="184">
        <f>2000000+2400000+29160000+684043</f>
        <v>34244043</v>
      </c>
      <c r="H93" s="449"/>
      <c r="I93" s="201"/>
      <c r="J93" s="25"/>
      <c r="K93" s="17"/>
      <c r="L93" s="17"/>
      <c r="M93" s="25"/>
      <c r="O93" s="1292"/>
      <c r="P93" s="881"/>
      <c r="Q93" s="456"/>
      <c r="R93" s="20"/>
    </row>
    <row r="94" spans="1:18" s="16" customFormat="1">
      <c r="A94" s="181"/>
      <c r="B94" s="184"/>
      <c r="C94" s="187" t="s">
        <v>56</v>
      </c>
      <c r="D94" s="186" t="s">
        <v>81</v>
      </c>
      <c r="E94" s="186"/>
      <c r="F94" s="183" t="s">
        <v>540</v>
      </c>
      <c r="G94" s="184">
        <v>2251420</v>
      </c>
      <c r="H94" s="449"/>
      <c r="I94" s="201"/>
      <c r="J94" s="25"/>
      <c r="K94" s="17">
        <f>34550000+1350000+663734+2251420-38815154</f>
        <v>0</v>
      </c>
      <c r="L94" s="17"/>
      <c r="M94" s="25">
        <f>34550000+1350000+663734+2251420</f>
        <v>38815154</v>
      </c>
      <c r="O94" s="1292"/>
      <c r="P94" s="881"/>
      <c r="Q94" s="456"/>
      <c r="R94" s="20"/>
    </row>
    <row r="95" spans="1:18" s="16" customFormat="1" ht="30">
      <c r="A95" s="181"/>
      <c r="B95" s="184"/>
      <c r="C95" s="187" t="s">
        <v>56</v>
      </c>
      <c r="D95" s="186" t="s">
        <v>39</v>
      </c>
      <c r="E95" s="186"/>
      <c r="F95" s="183" t="s">
        <v>1588</v>
      </c>
      <c r="G95" s="184">
        <v>40914312</v>
      </c>
      <c r="H95" s="449"/>
      <c r="I95" s="201"/>
      <c r="J95" s="25"/>
      <c r="K95" s="17"/>
      <c r="L95" s="17"/>
      <c r="M95" s="25">
        <f>40914312+11849992</f>
        <v>52764304</v>
      </c>
      <c r="O95" s="1292"/>
      <c r="P95" s="881"/>
      <c r="Q95" s="456"/>
      <c r="R95" s="20"/>
    </row>
    <row r="96" spans="1:18" s="16" customFormat="1" ht="30">
      <c r="A96" s="181"/>
      <c r="B96" s="184"/>
      <c r="C96" s="187" t="s">
        <v>56</v>
      </c>
      <c r="D96" s="186" t="s">
        <v>90</v>
      </c>
      <c r="E96" s="186"/>
      <c r="F96" s="183" t="s">
        <v>1640</v>
      </c>
      <c r="G96" s="184">
        <v>8088320</v>
      </c>
      <c r="H96" s="449"/>
      <c r="I96" s="201"/>
      <c r="J96" s="25"/>
      <c r="K96" s="17"/>
      <c r="L96" s="17"/>
      <c r="M96" s="25">
        <f>50000000+8830717</f>
        <v>58830717</v>
      </c>
      <c r="O96" s="1292">
        <f t="shared" si="3"/>
        <v>0</v>
      </c>
      <c r="P96" s="881"/>
      <c r="Q96" s="456"/>
      <c r="R96" s="20"/>
    </row>
    <row r="97" spans="1:18" s="16" customFormat="1" ht="30">
      <c r="A97" s="181"/>
      <c r="B97" s="184"/>
      <c r="C97" s="187" t="s">
        <v>56</v>
      </c>
      <c r="D97" s="186" t="s">
        <v>1097</v>
      </c>
      <c r="E97" s="186"/>
      <c r="F97" s="183" t="s">
        <v>1590</v>
      </c>
      <c r="G97" s="184">
        <v>3881905</v>
      </c>
      <c r="H97" s="449"/>
      <c r="I97" s="201"/>
      <c r="J97" s="25"/>
      <c r="K97" s="17"/>
      <c r="L97" s="17"/>
      <c r="M97" s="25"/>
      <c r="O97" s="1292"/>
      <c r="P97" s="881"/>
      <c r="Q97" s="456"/>
      <c r="R97" s="20"/>
    </row>
    <row r="98" spans="1:18" s="16" customFormat="1">
      <c r="A98" s="181"/>
      <c r="B98" s="184"/>
      <c r="C98" s="187" t="s">
        <v>66</v>
      </c>
      <c r="D98" s="186" t="s">
        <v>85</v>
      </c>
      <c r="E98" s="186" t="s">
        <v>81</v>
      </c>
      <c r="F98" s="183" t="s">
        <v>1598</v>
      </c>
      <c r="G98" s="184">
        <f>50000000-5000000</f>
        <v>45000000</v>
      </c>
      <c r="H98" s="449"/>
      <c r="I98" s="201"/>
      <c r="J98" s="25"/>
      <c r="K98" s="17"/>
      <c r="L98" s="17"/>
      <c r="M98" s="25"/>
      <c r="O98" s="1292"/>
      <c r="P98" s="881"/>
      <c r="Q98" s="456"/>
      <c r="R98" s="20"/>
    </row>
    <row r="99" spans="1:18" s="16" customFormat="1" ht="30">
      <c r="A99" s="181"/>
      <c r="B99" s="184"/>
      <c r="C99" s="187" t="s">
        <v>66</v>
      </c>
      <c r="D99" s="186" t="s">
        <v>85</v>
      </c>
      <c r="E99" s="186" t="s">
        <v>38</v>
      </c>
      <c r="F99" s="183" t="s">
        <v>1624</v>
      </c>
      <c r="G99" s="184">
        <v>5000000</v>
      </c>
      <c r="H99" s="449"/>
      <c r="I99" s="201"/>
      <c r="J99" s="25"/>
      <c r="K99" s="17"/>
      <c r="L99" s="17"/>
      <c r="M99" s="25"/>
      <c r="O99" s="1292"/>
      <c r="P99" s="881"/>
      <c r="Q99" s="456"/>
      <c r="R99" s="20"/>
    </row>
    <row r="100" spans="1:18" s="16" customFormat="1">
      <c r="A100" s="181"/>
      <c r="B100" s="184"/>
      <c r="C100" s="187"/>
      <c r="D100" s="186"/>
      <c r="E100" s="186"/>
      <c r="F100" s="183"/>
      <c r="G100" s="184"/>
      <c r="H100" s="449"/>
      <c r="I100" s="201"/>
      <c r="J100" s="25"/>
      <c r="K100" s="17"/>
      <c r="L100" s="17"/>
      <c r="M100" s="25"/>
      <c r="O100" s="1292"/>
      <c r="P100" s="881"/>
      <c r="Q100" s="456"/>
      <c r="R100" s="20"/>
    </row>
    <row r="101" spans="1:18" s="16" customFormat="1">
      <c r="A101" s="181"/>
      <c r="B101" s="184"/>
      <c r="C101" s="187"/>
      <c r="D101" s="190"/>
      <c r="E101" s="190"/>
      <c r="F101" s="185"/>
      <c r="G101" s="807"/>
      <c r="H101" s="449"/>
      <c r="I101" s="201"/>
      <c r="J101" s="25"/>
      <c r="K101" s="17"/>
      <c r="L101" s="17"/>
      <c r="M101" s="25"/>
      <c r="O101" s="1292">
        <f t="shared" si="3"/>
        <v>0</v>
      </c>
      <c r="P101" s="881"/>
      <c r="Q101" s="456"/>
      <c r="R101" s="20"/>
    </row>
    <row r="102" spans="1:18" s="16" customFormat="1">
      <c r="A102" s="1285" t="s">
        <v>1567</v>
      </c>
      <c r="B102" s="184">
        <f>[12]ESTIMACION!$E$53</f>
        <v>80000000</v>
      </c>
      <c r="C102" s="187"/>
      <c r="D102" s="186"/>
      <c r="E102" s="186"/>
      <c r="F102" s="185"/>
      <c r="G102" s="820">
        <f>SUM(G103:G104)</f>
        <v>80000000</v>
      </c>
      <c r="H102" s="449">
        <f>B102-G102</f>
        <v>0</v>
      </c>
      <c r="I102" s="201"/>
      <c r="J102" s="25"/>
      <c r="K102" s="17"/>
      <c r="L102" s="17"/>
      <c r="M102" s="25"/>
      <c r="O102" s="1292">
        <f t="shared" si="3"/>
        <v>0</v>
      </c>
      <c r="P102" s="881"/>
      <c r="Q102" s="456"/>
      <c r="R102" s="20"/>
    </row>
    <row r="103" spans="1:18" s="16" customFormat="1" ht="45">
      <c r="A103" s="1285" t="s">
        <v>1570</v>
      </c>
      <c r="B103" s="184"/>
      <c r="C103" s="187" t="s">
        <v>1120</v>
      </c>
      <c r="D103" s="190" t="s">
        <v>77</v>
      </c>
      <c r="E103" s="190"/>
      <c r="F103" s="185" t="s">
        <v>294</v>
      </c>
      <c r="G103" s="184">
        <f>B102</f>
        <v>80000000</v>
      </c>
      <c r="H103" s="1297"/>
      <c r="J103" s="25"/>
      <c r="K103" s="17"/>
      <c r="L103" s="17"/>
      <c r="M103" s="25"/>
      <c r="O103" s="1292">
        <f t="shared" si="3"/>
        <v>80000000</v>
      </c>
      <c r="P103" s="881"/>
      <c r="Q103" s="456"/>
      <c r="R103" s="20"/>
    </row>
    <row r="104" spans="1:18" s="16" customFormat="1" ht="15.75">
      <c r="A104" s="1285"/>
      <c r="B104" s="184"/>
      <c r="C104" s="187"/>
      <c r="D104" s="190"/>
      <c r="E104" s="190"/>
      <c r="F104" s="185"/>
      <c r="G104" s="184"/>
      <c r="H104" s="449"/>
      <c r="J104" s="25"/>
      <c r="K104" s="17"/>
      <c r="L104" s="17"/>
      <c r="M104" s="25"/>
      <c r="O104" s="1292"/>
      <c r="P104" s="881"/>
      <c r="Q104" s="456"/>
      <c r="R104" s="20"/>
    </row>
    <row r="105" spans="1:18" s="16" customFormat="1">
      <c r="A105" s="181"/>
      <c r="B105" s="184"/>
      <c r="C105" s="187"/>
      <c r="D105" s="186"/>
      <c r="E105" s="186"/>
      <c r="F105" s="183"/>
      <c r="G105" s="184"/>
      <c r="H105" s="449"/>
      <c r="I105" s="201"/>
      <c r="J105" s="25"/>
      <c r="K105" s="17"/>
      <c r="L105" s="17"/>
      <c r="M105" s="25"/>
      <c r="O105" s="1292">
        <f t="shared" si="3"/>
        <v>0</v>
      </c>
      <c r="P105" s="881"/>
      <c r="Q105" s="456"/>
      <c r="R105" s="20"/>
    </row>
    <row r="106" spans="1:18" s="16" customFormat="1">
      <c r="A106" s="181"/>
      <c r="B106" s="184"/>
      <c r="C106" s="187"/>
      <c r="D106" s="190"/>
      <c r="E106" s="190"/>
      <c r="F106" s="185"/>
      <c r="G106" s="807"/>
      <c r="H106" s="449"/>
      <c r="I106" s="201"/>
      <c r="J106" s="25"/>
      <c r="K106" s="17"/>
      <c r="L106" s="17"/>
      <c r="M106" s="25"/>
      <c r="O106" s="1292">
        <f t="shared" si="3"/>
        <v>0</v>
      </c>
      <c r="P106" s="881"/>
      <c r="Q106" s="456"/>
      <c r="R106" s="20"/>
    </row>
    <row r="107" spans="1:18" s="16" customFormat="1">
      <c r="A107" s="181" t="s">
        <v>304</v>
      </c>
      <c r="B107" s="184">
        <f>[12]ESTIMACION!$E$54</f>
        <v>21150000</v>
      </c>
      <c r="C107" s="187"/>
      <c r="D107" s="186"/>
      <c r="E107" s="186"/>
      <c r="F107" s="185"/>
      <c r="G107" s="820">
        <f>SUM(G108:G111)</f>
        <v>21150000</v>
      </c>
      <c r="H107" s="449">
        <f>B107-G107</f>
        <v>0</v>
      </c>
      <c r="I107" s="201"/>
      <c r="J107" s="25"/>
      <c r="K107" s="17"/>
      <c r="L107" s="17"/>
      <c r="M107" s="25"/>
      <c r="O107" s="1292">
        <f t="shared" si="3"/>
        <v>0</v>
      </c>
      <c r="P107" s="881"/>
      <c r="Q107" s="456"/>
      <c r="R107" s="20"/>
    </row>
    <row r="108" spans="1:18" s="16" customFormat="1" ht="18" customHeight="1">
      <c r="A108" s="1370" t="str">
        <f>[12]ESTIMACION!$D$54</f>
        <v>Timbre Pro-parques Nacionales.</v>
      </c>
      <c r="B108" s="184"/>
      <c r="C108" s="187" t="s">
        <v>65</v>
      </c>
      <c r="D108" s="190" t="s">
        <v>44</v>
      </c>
      <c r="E108" s="190"/>
      <c r="F108" s="185" t="s">
        <v>519</v>
      </c>
      <c r="G108" s="184">
        <v>2115000</v>
      </c>
      <c r="H108" s="449"/>
      <c r="I108" s="201"/>
      <c r="J108" s="444">
        <f>B107*10%</f>
        <v>2115000</v>
      </c>
      <c r="K108" s="17">
        <f>J108-G108</f>
        <v>0</v>
      </c>
      <c r="L108" s="17"/>
      <c r="M108" s="25"/>
      <c r="O108" s="1292">
        <f t="shared" si="3"/>
        <v>0</v>
      </c>
      <c r="P108" s="881"/>
      <c r="Q108" s="456"/>
      <c r="R108" s="20"/>
    </row>
    <row r="109" spans="1:18" s="16" customFormat="1">
      <c r="A109" s="1370"/>
      <c r="B109" s="184"/>
      <c r="C109" s="187" t="s">
        <v>65</v>
      </c>
      <c r="D109" s="190" t="s">
        <v>44</v>
      </c>
      <c r="E109" s="190"/>
      <c r="F109" s="185" t="s">
        <v>520</v>
      </c>
      <c r="G109" s="184">
        <v>13324500</v>
      </c>
      <c r="H109" s="449"/>
      <c r="I109" s="201"/>
      <c r="J109" s="444">
        <f>(B107-J108)*70%</f>
        <v>13324500</v>
      </c>
      <c r="K109" s="17">
        <f>J109-G109</f>
        <v>0</v>
      </c>
      <c r="L109" s="17"/>
      <c r="M109" s="25"/>
      <c r="O109" s="1292">
        <f t="shared" si="3"/>
        <v>0</v>
      </c>
      <c r="P109" s="881"/>
      <c r="Q109" s="456"/>
      <c r="R109" s="20"/>
    </row>
    <row r="110" spans="1:18" s="16" customFormat="1">
      <c r="A110" s="181"/>
      <c r="B110" s="184"/>
      <c r="C110" s="187" t="s">
        <v>56</v>
      </c>
      <c r="D110" s="190" t="s">
        <v>518</v>
      </c>
      <c r="E110" s="190"/>
      <c r="F110" s="185" t="s">
        <v>521</v>
      </c>
      <c r="G110" s="184">
        <v>5710500</v>
      </c>
      <c r="H110" s="449"/>
      <c r="I110" s="201"/>
      <c r="J110" s="444">
        <f>(B107-J108)*30%</f>
        <v>5710500</v>
      </c>
      <c r="K110" s="17">
        <f>J110-G110</f>
        <v>0</v>
      </c>
      <c r="L110" s="17"/>
      <c r="M110" s="25"/>
      <c r="O110" s="1292">
        <f t="shared" si="3"/>
        <v>0</v>
      </c>
      <c r="P110" s="881"/>
      <c r="Q110" s="456"/>
      <c r="R110" s="20"/>
    </row>
    <row r="111" spans="1:18" s="16" customFormat="1">
      <c r="A111" s="181"/>
      <c r="B111" s="184"/>
      <c r="C111" s="187"/>
      <c r="D111" s="190"/>
      <c r="E111" s="190"/>
      <c r="F111" s="185"/>
      <c r="G111" s="807"/>
      <c r="H111" s="449"/>
      <c r="I111" s="201"/>
      <c r="J111" s="795">
        <f>[1]GASTOS!$AX$339</f>
        <v>5710500</v>
      </c>
      <c r="K111" s="17">
        <f>J111-G110</f>
        <v>0</v>
      </c>
      <c r="L111" s="17"/>
      <c r="M111" s="25"/>
      <c r="O111" s="1292">
        <f t="shared" si="3"/>
        <v>0</v>
      </c>
      <c r="P111" s="881"/>
      <c r="Q111" s="456"/>
      <c r="R111" s="20"/>
    </row>
    <row r="112" spans="1:18" s="16" customFormat="1" ht="15.75">
      <c r="A112" s="181"/>
      <c r="B112" s="184"/>
      <c r="C112" s="187"/>
      <c r="D112" s="190"/>
      <c r="E112" s="190"/>
      <c r="F112" s="185"/>
      <c r="G112" s="807"/>
      <c r="H112" s="449"/>
      <c r="I112" s="6"/>
      <c r="J112" s="6"/>
      <c r="K112" s="17"/>
      <c r="L112" s="17"/>
      <c r="M112" s="25"/>
      <c r="O112" s="1292">
        <f t="shared" si="3"/>
        <v>0</v>
      </c>
      <c r="P112" s="881"/>
      <c r="Q112" s="456"/>
      <c r="R112" s="20"/>
    </row>
    <row r="113" spans="1:18" s="47" customFormat="1">
      <c r="A113" s="181"/>
      <c r="B113" s="184"/>
      <c r="C113" s="187"/>
      <c r="D113" s="190"/>
      <c r="E113" s="190"/>
      <c r="F113" s="185"/>
      <c r="G113" s="807"/>
      <c r="H113" s="966"/>
      <c r="I113" s="967"/>
      <c r="J113" s="968"/>
      <c r="K113" s="18"/>
      <c r="L113" s="18"/>
      <c r="M113" s="968"/>
      <c r="O113" s="1292">
        <f t="shared" si="3"/>
        <v>0</v>
      </c>
      <c r="P113" s="969"/>
      <c r="Q113" s="1001"/>
      <c r="R113" s="1002"/>
    </row>
    <row r="114" spans="1:18" s="16" customFormat="1">
      <c r="A114" s="1285" t="s">
        <v>204</v>
      </c>
      <c r="B114" s="184">
        <f>[12]ESTIMACION!$F$63</f>
        <v>250000</v>
      </c>
      <c r="C114" s="187"/>
      <c r="D114" s="186"/>
      <c r="E114" s="186"/>
      <c r="F114" s="185"/>
      <c r="G114" s="820">
        <f>SUM(G115:G116)</f>
        <v>250000</v>
      </c>
      <c r="H114" s="449">
        <f>B114-G114</f>
        <v>0</v>
      </c>
      <c r="I114" s="201"/>
      <c r="J114" s="25"/>
      <c r="K114" s="17"/>
      <c r="L114" s="17"/>
      <c r="M114" s="25"/>
      <c r="O114" s="1292">
        <f t="shared" si="3"/>
        <v>0</v>
      </c>
      <c r="P114" s="881"/>
      <c r="Q114" s="456"/>
      <c r="R114" s="20"/>
    </row>
    <row r="115" spans="1:18" s="16" customFormat="1">
      <c r="A115" s="1285" t="s">
        <v>50</v>
      </c>
      <c r="B115" s="184"/>
      <c r="C115" s="187" t="s">
        <v>1120</v>
      </c>
      <c r="D115" s="190" t="s">
        <v>77</v>
      </c>
      <c r="E115" s="190"/>
      <c r="F115" s="185" t="s">
        <v>294</v>
      </c>
      <c r="G115" s="184">
        <f>B114</f>
        <v>250000</v>
      </c>
      <c r="H115" s="1297"/>
      <c r="I115" s="201"/>
      <c r="J115" s="25"/>
      <c r="K115" s="17"/>
      <c r="L115" s="17"/>
      <c r="M115" s="25"/>
      <c r="O115" s="1292">
        <f t="shared" si="3"/>
        <v>250000</v>
      </c>
      <c r="P115" s="881"/>
      <c r="Q115" s="456"/>
      <c r="R115" s="20"/>
    </row>
    <row r="116" spans="1:18" s="16" customFormat="1">
      <c r="A116" s="181"/>
      <c r="B116" s="184"/>
      <c r="C116" s="187"/>
      <c r="D116" s="186"/>
      <c r="E116" s="186"/>
      <c r="F116" s="183"/>
      <c r="G116" s="184"/>
      <c r="H116" s="449"/>
      <c r="I116" s="201"/>
      <c r="J116" s="25"/>
      <c r="K116" s="17"/>
      <c r="L116" s="17"/>
      <c r="M116" s="25"/>
      <c r="O116" s="1292">
        <f t="shared" si="3"/>
        <v>0</v>
      </c>
      <c r="P116" s="881"/>
      <c r="Q116" s="456"/>
      <c r="R116" s="20"/>
    </row>
    <row r="117" spans="1:18" s="16" customFormat="1" hidden="1">
      <c r="A117" s="181"/>
      <c r="B117" s="184"/>
      <c r="C117" s="187"/>
      <c r="D117" s="186"/>
      <c r="E117" s="186"/>
      <c r="F117" s="183"/>
      <c r="G117" s="184"/>
      <c r="H117" s="449"/>
      <c r="I117" s="201"/>
      <c r="J117" s="25"/>
      <c r="K117" s="17"/>
      <c r="L117" s="17"/>
      <c r="M117" s="25"/>
      <c r="O117" s="1292"/>
      <c r="P117" s="881"/>
      <c r="Q117" s="456"/>
      <c r="R117" s="20"/>
    </row>
    <row r="118" spans="1:18" s="16" customFormat="1">
      <c r="A118" s="181"/>
      <c r="B118" s="184"/>
      <c r="C118" s="187"/>
      <c r="D118" s="190"/>
      <c r="E118" s="190"/>
      <c r="F118" s="185"/>
      <c r="G118" s="807"/>
      <c r="H118" s="449"/>
      <c r="I118" s="201"/>
      <c r="J118" s="25"/>
      <c r="K118" s="17"/>
      <c r="L118" s="17"/>
      <c r="M118" s="25"/>
      <c r="O118" s="1292">
        <f t="shared" si="3"/>
        <v>0</v>
      </c>
      <c r="P118" s="881"/>
      <c r="Q118" s="456"/>
      <c r="R118" s="20"/>
    </row>
    <row r="119" spans="1:18" s="16" customFormat="1">
      <c r="A119" s="1285" t="s">
        <v>1226</v>
      </c>
      <c r="B119" s="184">
        <f>[12]ESTIMACION!$F$73</f>
        <v>9000</v>
      </c>
      <c r="C119" s="187"/>
      <c r="D119" s="186"/>
      <c r="E119" s="186"/>
      <c r="F119" s="185"/>
      <c r="G119" s="820">
        <f>SUM(G120:G121)</f>
        <v>9000</v>
      </c>
      <c r="H119" s="449">
        <f>B119-G119</f>
        <v>0</v>
      </c>
      <c r="I119" s="201"/>
      <c r="J119" s="25"/>
      <c r="K119" s="17"/>
      <c r="L119" s="17"/>
      <c r="M119" s="25"/>
      <c r="O119" s="1292">
        <f t="shared" si="3"/>
        <v>0</v>
      </c>
      <c r="P119" s="881"/>
      <c r="Q119" s="456"/>
      <c r="R119" s="20"/>
    </row>
    <row r="120" spans="1:18" s="16" customFormat="1">
      <c r="A120" s="1285" t="s">
        <v>1571</v>
      </c>
      <c r="B120" s="184"/>
      <c r="C120" s="187" t="s">
        <v>1120</v>
      </c>
      <c r="D120" s="190" t="s">
        <v>77</v>
      </c>
      <c r="E120" s="190"/>
      <c r="F120" s="185" t="s">
        <v>294</v>
      </c>
      <c r="G120" s="184">
        <f>B119</f>
        <v>9000</v>
      </c>
      <c r="H120" s="1297"/>
      <c r="I120" s="201"/>
      <c r="J120" s="25"/>
      <c r="K120" s="17"/>
      <c r="L120" s="17"/>
      <c r="M120" s="25"/>
      <c r="O120" s="1292">
        <f t="shared" si="3"/>
        <v>9000</v>
      </c>
      <c r="P120" s="881"/>
      <c r="Q120" s="456"/>
      <c r="R120" s="20"/>
    </row>
    <row r="121" spans="1:18" s="16" customFormat="1">
      <c r="A121" s="181"/>
      <c r="B121" s="184"/>
      <c r="C121" s="187"/>
      <c r="D121" s="186"/>
      <c r="E121" s="186"/>
      <c r="F121" s="183"/>
      <c r="G121" s="184"/>
      <c r="H121" s="449"/>
      <c r="I121" s="201"/>
      <c r="J121" s="25"/>
      <c r="K121" s="17"/>
      <c r="L121" s="17"/>
      <c r="M121" s="25"/>
      <c r="O121" s="1292">
        <f t="shared" si="3"/>
        <v>0</v>
      </c>
      <c r="P121" s="881"/>
      <c r="Q121" s="456"/>
      <c r="R121" s="20"/>
    </row>
    <row r="122" spans="1:18" s="16" customFormat="1">
      <c r="A122" s="181"/>
      <c r="B122" s="184"/>
      <c r="C122" s="187"/>
      <c r="D122" s="186"/>
      <c r="E122" s="186"/>
      <c r="F122" s="183"/>
      <c r="G122" s="184"/>
      <c r="H122" s="449"/>
      <c r="I122" s="201"/>
      <c r="J122" s="25"/>
      <c r="K122" s="17"/>
      <c r="L122" s="17"/>
      <c r="M122" s="25"/>
      <c r="O122" s="1292"/>
      <c r="P122" s="881"/>
      <c r="Q122" s="456"/>
      <c r="R122" s="20"/>
    </row>
    <row r="123" spans="1:18" s="16" customFormat="1">
      <c r="A123" s="181"/>
      <c r="B123" s="184"/>
      <c r="C123" s="187"/>
      <c r="D123" s="190"/>
      <c r="E123" s="190"/>
      <c r="F123" s="185"/>
      <c r="G123" s="807"/>
      <c r="H123" s="449"/>
      <c r="I123" s="201"/>
      <c r="J123" s="25"/>
      <c r="L123" s="17"/>
      <c r="M123" s="25"/>
      <c r="O123" s="1292">
        <f t="shared" si="3"/>
        <v>0</v>
      </c>
      <c r="P123" s="881"/>
      <c r="Q123" s="456"/>
      <c r="R123" s="20"/>
    </row>
    <row r="124" spans="1:18" s="16" customFormat="1">
      <c r="A124" s="1285" t="s">
        <v>209</v>
      </c>
      <c r="B124" s="184">
        <f>[12]ESTIMACION!$F$82</f>
        <v>107300000</v>
      </c>
      <c r="C124" s="187"/>
      <c r="D124" s="186"/>
      <c r="E124" s="186"/>
      <c r="F124" s="185"/>
      <c r="G124" s="820">
        <f>SUM(G125:G129)</f>
        <v>107300000</v>
      </c>
      <c r="H124" s="449">
        <f>B124-G124</f>
        <v>0</v>
      </c>
      <c r="I124" s="201"/>
      <c r="J124" s="25"/>
      <c r="K124" s="17"/>
      <c r="L124" s="17"/>
      <c r="M124" s="25"/>
      <c r="O124" s="1292">
        <f t="shared" si="3"/>
        <v>0</v>
      </c>
      <c r="P124" s="881"/>
      <c r="Q124" s="456"/>
      <c r="R124" s="20"/>
    </row>
    <row r="125" spans="1:18" s="16" customFormat="1" ht="30">
      <c r="A125" s="1285" t="s">
        <v>210</v>
      </c>
      <c r="B125" s="184"/>
      <c r="C125" s="187" t="s">
        <v>1120</v>
      </c>
      <c r="D125" s="190" t="s">
        <v>77</v>
      </c>
      <c r="E125" s="190"/>
      <c r="F125" s="185" t="s">
        <v>294</v>
      </c>
      <c r="G125" s="184">
        <v>10730000</v>
      </c>
      <c r="H125" s="449"/>
      <c r="J125" s="444">
        <f>B124*10%</f>
        <v>10730000</v>
      </c>
      <c r="K125" s="17">
        <f>J125-G125</f>
        <v>0</v>
      </c>
      <c r="L125" s="1286" t="s">
        <v>1572</v>
      </c>
      <c r="M125" s="1343">
        <v>0.1</v>
      </c>
      <c r="N125" s="1288" t="s">
        <v>1573</v>
      </c>
      <c r="O125" s="1292">
        <f t="shared" si="3"/>
        <v>10730000</v>
      </c>
      <c r="P125" s="881"/>
      <c r="Q125" s="456"/>
      <c r="R125" s="20"/>
    </row>
    <row r="126" spans="1:18" s="16" customFormat="1" ht="15.75">
      <c r="A126" s="181"/>
      <c r="B126" s="184"/>
      <c r="C126" s="187" t="s">
        <v>56</v>
      </c>
      <c r="D126" s="190" t="s">
        <v>295</v>
      </c>
      <c r="E126" s="190"/>
      <c r="F126" s="185" t="s">
        <v>1129</v>
      </c>
      <c r="G126" s="184">
        <v>50850000</v>
      </c>
      <c r="H126" s="449"/>
      <c r="J126" s="795">
        <f>[1]GASTOS!$Z$339</f>
        <v>66132666</v>
      </c>
      <c r="K126" s="17">
        <f>J126-G126</f>
        <v>15282666</v>
      </c>
      <c r="L126" s="1287">
        <f>[12]ESTIMACION!$E$83</f>
        <v>56500000</v>
      </c>
      <c r="M126" s="1343">
        <f>L126*$M$125</f>
        <v>5650000</v>
      </c>
      <c r="N126" s="1287">
        <f>L126-M126</f>
        <v>50850000</v>
      </c>
      <c r="O126" s="1292">
        <f t="shared" si="3"/>
        <v>0</v>
      </c>
      <c r="P126" s="881"/>
      <c r="Q126" s="456"/>
      <c r="R126" s="20"/>
    </row>
    <row r="127" spans="1:18" s="16" customFormat="1" ht="30">
      <c r="A127" s="181"/>
      <c r="B127" s="184"/>
      <c r="C127" s="187" t="s">
        <v>56</v>
      </c>
      <c r="D127" s="190" t="s">
        <v>162</v>
      </c>
      <c r="E127" s="190"/>
      <c r="F127" s="183" t="s">
        <v>1138</v>
      </c>
      <c r="G127" s="184">
        <v>43650000</v>
      </c>
      <c r="H127" s="449"/>
      <c r="I127" s="884"/>
      <c r="J127" s="795">
        <f>[1]GASTOS!$AR$339</f>
        <v>53877738</v>
      </c>
      <c r="K127" s="17">
        <f>J127-G127</f>
        <v>10227738</v>
      </c>
      <c r="L127" s="1287">
        <f>[12]ESTIMACION!$E$84</f>
        <v>48500000</v>
      </c>
      <c r="M127" s="1343">
        <f>L127*$M$125</f>
        <v>4850000</v>
      </c>
      <c r="N127" s="1287">
        <f>L127-M127</f>
        <v>43650000</v>
      </c>
      <c r="O127" s="1292">
        <f t="shared" si="3"/>
        <v>0</v>
      </c>
      <c r="P127" s="881"/>
      <c r="Q127" s="456"/>
      <c r="R127" s="20"/>
    </row>
    <row r="128" spans="1:18" s="16" customFormat="1">
      <c r="A128" s="1285"/>
      <c r="B128" s="184"/>
      <c r="C128" s="187" t="s">
        <v>1591</v>
      </c>
      <c r="D128" s="186" t="s">
        <v>1128</v>
      </c>
      <c r="E128" s="186"/>
      <c r="F128" s="183" t="s">
        <v>1592</v>
      </c>
      <c r="G128" s="184">
        <v>2070000</v>
      </c>
      <c r="H128" s="449"/>
      <c r="I128" s="201"/>
      <c r="J128" s="25"/>
      <c r="K128" s="17"/>
      <c r="L128" s="1287">
        <f>[12]ESTIMACION!$E$85</f>
        <v>2300000</v>
      </c>
      <c r="M128" s="1343">
        <f>L128*$M$125</f>
        <v>230000</v>
      </c>
      <c r="N128" s="1287">
        <f>L128-M128</f>
        <v>2070000</v>
      </c>
      <c r="O128" s="1292">
        <f t="shared" si="3"/>
        <v>0</v>
      </c>
      <c r="P128" s="881"/>
      <c r="Q128" s="456"/>
      <c r="R128" s="20"/>
    </row>
    <row r="129" spans="1:18" s="16" customFormat="1">
      <c r="A129" s="181"/>
      <c r="B129" s="184"/>
      <c r="C129" s="187"/>
      <c r="D129" s="186"/>
      <c r="E129" s="186"/>
      <c r="F129" s="183"/>
      <c r="G129" s="184"/>
      <c r="H129" s="449"/>
      <c r="I129" s="201"/>
      <c r="J129" s="25"/>
      <c r="K129" s="17"/>
      <c r="L129" s="17"/>
      <c r="M129" s="25"/>
      <c r="O129" s="1292">
        <f t="shared" si="3"/>
        <v>0</v>
      </c>
      <c r="P129" s="881"/>
      <c r="Q129" s="456"/>
      <c r="R129" s="20"/>
    </row>
    <row r="130" spans="1:18" s="16" customFormat="1">
      <c r="A130" s="181"/>
      <c r="B130" s="184"/>
      <c r="C130" s="187"/>
      <c r="D130" s="190"/>
      <c r="E130" s="190"/>
      <c r="F130" s="185"/>
      <c r="G130" s="807"/>
      <c r="H130" s="449"/>
      <c r="I130" s="201"/>
      <c r="J130" s="25"/>
      <c r="K130" s="17"/>
      <c r="L130" s="17"/>
      <c r="M130" s="25"/>
      <c r="O130" s="1292">
        <f t="shared" si="3"/>
        <v>0</v>
      </c>
      <c r="P130" s="881"/>
      <c r="Q130" s="456"/>
      <c r="R130" s="20"/>
    </row>
    <row r="131" spans="1:18" s="16" customFormat="1">
      <c r="A131" s="181"/>
      <c r="B131" s="184"/>
      <c r="C131" s="187"/>
      <c r="D131" s="190"/>
      <c r="E131" s="190"/>
      <c r="F131" s="185"/>
      <c r="G131" s="807"/>
      <c r="H131" s="449"/>
      <c r="I131" s="201"/>
      <c r="J131" s="25"/>
      <c r="K131" s="17"/>
      <c r="L131" s="17"/>
      <c r="M131" s="25"/>
      <c r="O131" s="1292">
        <f t="shared" si="3"/>
        <v>0</v>
      </c>
      <c r="P131" s="881"/>
      <c r="Q131" s="456"/>
      <c r="R131" s="20"/>
    </row>
    <row r="132" spans="1:18" s="16" customFormat="1">
      <c r="A132" s="181" t="s">
        <v>213</v>
      </c>
      <c r="B132" s="184">
        <f>[12]ESTIMACION!$F$92</f>
        <v>69675000</v>
      </c>
      <c r="C132" s="187"/>
      <c r="D132" s="186"/>
      <c r="E132" s="186"/>
      <c r="F132" s="185"/>
      <c r="G132" s="820">
        <f>SUM(G133:G135)</f>
        <v>69675000</v>
      </c>
      <c r="H132" s="449">
        <f>B132-G132</f>
        <v>0</v>
      </c>
      <c r="I132" s="201"/>
      <c r="J132" s="25"/>
      <c r="K132" s="17"/>
      <c r="L132" s="17"/>
      <c r="M132" s="25"/>
      <c r="O132" s="1292">
        <f t="shared" si="3"/>
        <v>0</v>
      </c>
      <c r="P132" s="881"/>
      <c r="Q132" s="456"/>
      <c r="R132" s="456"/>
    </row>
    <row r="133" spans="1:18" s="16" customFormat="1">
      <c r="A133" s="181" t="str">
        <f>[12]ESTIMACION!$D$92</f>
        <v>Servicio de cementerio</v>
      </c>
      <c r="B133" s="184"/>
      <c r="C133" s="187" t="s">
        <v>1120</v>
      </c>
      <c r="D133" s="190" t="s">
        <v>77</v>
      </c>
      <c r="E133" s="190"/>
      <c r="F133" s="185" t="s">
        <v>294</v>
      </c>
      <c r="G133" s="184">
        <v>6967500</v>
      </c>
      <c r="I133" s="201"/>
      <c r="J133" s="444">
        <f>B132*10%</f>
        <v>6967500</v>
      </c>
      <c r="K133" s="17">
        <f>J133-G133</f>
        <v>0</v>
      </c>
      <c r="L133" s="17"/>
      <c r="M133" s="25"/>
      <c r="O133" s="1292">
        <f t="shared" si="3"/>
        <v>6967500</v>
      </c>
      <c r="P133" s="881"/>
      <c r="R133" s="456"/>
    </row>
    <row r="134" spans="1:18" s="16" customFormat="1">
      <c r="A134" s="181"/>
      <c r="B134" s="184"/>
      <c r="C134" s="187" t="s">
        <v>56</v>
      </c>
      <c r="D134" s="190" t="s">
        <v>44</v>
      </c>
      <c r="E134" s="190"/>
      <c r="F134" s="185" t="s">
        <v>522</v>
      </c>
      <c r="G134" s="184">
        <v>62707500</v>
      </c>
      <c r="H134" s="449"/>
      <c r="I134" s="201"/>
      <c r="J134" s="795">
        <f>[1]GASTOS!$X$339</f>
        <v>62707500</v>
      </c>
      <c r="K134" s="17">
        <f>J134-G134</f>
        <v>0</v>
      </c>
      <c r="L134" s="17"/>
      <c r="M134" s="25"/>
      <c r="O134" s="1292">
        <f t="shared" si="3"/>
        <v>0</v>
      </c>
      <c r="P134" s="881"/>
      <c r="Q134" s="881"/>
      <c r="R134" s="881"/>
    </row>
    <row r="135" spans="1:18" s="16" customFormat="1">
      <c r="A135" s="181"/>
      <c r="B135" s="184"/>
      <c r="C135" s="187"/>
      <c r="D135" s="190"/>
      <c r="E135" s="190"/>
      <c r="F135" s="185"/>
      <c r="G135" s="807"/>
      <c r="H135" s="449"/>
      <c r="I135" s="201"/>
      <c r="K135" s="17"/>
      <c r="L135" s="17"/>
      <c r="M135" s="25"/>
      <c r="O135" s="1292">
        <f t="shared" si="3"/>
        <v>0</v>
      </c>
      <c r="P135" s="881"/>
      <c r="Q135" s="456" t="s">
        <v>1340</v>
      </c>
      <c r="R135" s="881"/>
    </row>
    <row r="136" spans="1:18" s="16" customFormat="1">
      <c r="A136" s="181"/>
      <c r="B136" s="184"/>
      <c r="C136" s="187"/>
      <c r="D136" s="190"/>
      <c r="E136" s="190"/>
      <c r="F136" s="185"/>
      <c r="G136" s="807"/>
      <c r="H136" s="449"/>
      <c r="I136" s="201"/>
      <c r="J136" s="25"/>
      <c r="K136" s="17"/>
      <c r="L136" s="17"/>
      <c r="M136" s="25"/>
      <c r="O136" s="1292">
        <f t="shared" si="3"/>
        <v>0</v>
      </c>
      <c r="P136" s="881"/>
      <c r="Q136" s="1003"/>
      <c r="R136" s="1003"/>
    </row>
    <row r="137" spans="1:18" s="16" customFormat="1" ht="20.25">
      <c r="A137" s="181"/>
      <c r="B137" s="184"/>
      <c r="C137" s="187"/>
      <c r="D137" s="190"/>
      <c r="E137" s="190"/>
      <c r="F137" s="185"/>
      <c r="G137" s="807"/>
      <c r="H137" s="449"/>
      <c r="I137" s="201"/>
      <c r="J137" s="25"/>
      <c r="K137" s="17"/>
      <c r="L137" s="17"/>
      <c r="M137" s="25"/>
      <c r="O137" s="1292">
        <f t="shared" si="3"/>
        <v>0</v>
      </c>
      <c r="P137" s="881"/>
      <c r="Q137" s="1004">
        <f>SUM(Q138:Q142)</f>
        <v>448213515</v>
      </c>
      <c r="R137" s="1003">
        <f>475057220.4-Q137</f>
        <v>26843705.399999976</v>
      </c>
    </row>
    <row r="138" spans="1:18" s="16" customFormat="1">
      <c r="A138" s="181" t="s">
        <v>296</v>
      </c>
      <c r="B138" s="184">
        <f>[12]ESTIMACION!$E$98</f>
        <v>753000000</v>
      </c>
      <c r="C138" s="187"/>
      <c r="D138" s="186"/>
      <c r="E138" s="186"/>
      <c r="F138" s="185"/>
      <c r="G138" s="820">
        <f>SUM(G139:G142)</f>
        <v>753000000</v>
      </c>
      <c r="H138" s="449">
        <f>B138-G138</f>
        <v>0</v>
      </c>
      <c r="I138" s="201"/>
      <c r="J138" s="25"/>
      <c r="K138" s="17"/>
      <c r="L138" s="17"/>
      <c r="M138" s="25"/>
      <c r="O138" s="1292">
        <f t="shared" si="3"/>
        <v>0</v>
      </c>
      <c r="P138" s="881"/>
      <c r="Q138" s="1003">
        <v>402892650</v>
      </c>
      <c r="R138" s="1005"/>
    </row>
    <row r="139" spans="1:18" s="16" customFormat="1" ht="18" customHeight="1">
      <c r="A139" s="1370" t="str">
        <f>[12]ESTIMACION!$D$98</f>
        <v>Servicios de recolección de basura</v>
      </c>
      <c r="B139" s="184"/>
      <c r="C139" s="187" t="s">
        <v>1120</v>
      </c>
      <c r="D139" s="190" t="s">
        <v>77</v>
      </c>
      <c r="E139" s="190"/>
      <c r="F139" s="185" t="s">
        <v>294</v>
      </c>
      <c r="G139" s="184">
        <v>75300000</v>
      </c>
      <c r="H139" s="449"/>
      <c r="J139" s="444">
        <f>B138*10%</f>
        <v>75300000</v>
      </c>
      <c r="K139" s="17">
        <f>J139-G139</f>
        <v>0</v>
      </c>
      <c r="L139" s="17"/>
      <c r="M139" s="25"/>
      <c r="O139" s="1292">
        <f t="shared" si="3"/>
        <v>75300000</v>
      </c>
      <c r="P139" s="881"/>
      <c r="Q139" s="1003">
        <v>45315585</v>
      </c>
      <c r="R139" s="1005"/>
    </row>
    <row r="140" spans="1:18" s="16" customFormat="1" ht="15.75">
      <c r="A140" s="1370"/>
      <c r="B140" s="184"/>
      <c r="C140" s="187" t="s">
        <v>56</v>
      </c>
      <c r="D140" s="190" t="s">
        <v>45</v>
      </c>
      <c r="E140" s="190"/>
      <c r="F140" s="185" t="s">
        <v>523</v>
      </c>
      <c r="G140" s="184">
        <v>274807350</v>
      </c>
      <c r="H140" s="449"/>
      <c r="J140" s="795">
        <f>[1]GASTOS!$V$339</f>
        <v>274807350</v>
      </c>
      <c r="K140" s="17">
        <f>J140-G140</f>
        <v>0</v>
      </c>
      <c r="L140" s="17"/>
      <c r="M140" s="25"/>
      <c r="O140" s="1292">
        <f t="shared" si="3"/>
        <v>0</v>
      </c>
      <c r="P140" s="881"/>
      <c r="Q140" s="1003">
        <v>5280</v>
      </c>
      <c r="R140" s="1005"/>
    </row>
    <row r="141" spans="1:18" s="16" customFormat="1">
      <c r="A141" s="181"/>
      <c r="B141" s="184"/>
      <c r="C141" s="187" t="s">
        <v>56</v>
      </c>
      <c r="D141" s="190" t="s">
        <v>661</v>
      </c>
      <c r="E141" s="190"/>
      <c r="F141" s="185" t="s">
        <v>650</v>
      </c>
      <c r="G141" s="184">
        <f>J141-K141</f>
        <v>402892650</v>
      </c>
      <c r="H141" s="449"/>
      <c r="I141" s="201"/>
      <c r="J141" s="25">
        <f>-('[1]GASTOS SANID.'!$D$8)</f>
        <v>447658500</v>
      </c>
      <c r="K141" s="1009">
        <f>J141*10%</f>
        <v>44765850</v>
      </c>
      <c r="L141" s="997" t="s">
        <v>1339</v>
      </c>
      <c r="M141" s="25"/>
      <c r="O141" s="1292">
        <f t="shared" si="3"/>
        <v>0</v>
      </c>
      <c r="P141" s="881"/>
      <c r="Q141" s="1003"/>
      <c r="R141" s="1005"/>
    </row>
    <row r="142" spans="1:18" s="16" customFormat="1">
      <c r="A142" s="181"/>
      <c r="B142" s="184"/>
      <c r="C142" s="187"/>
      <c r="D142" s="190"/>
      <c r="E142" s="190"/>
      <c r="F142" s="185"/>
      <c r="G142" s="807"/>
      <c r="H142" s="449"/>
      <c r="I142" s="201"/>
      <c r="J142" s="25"/>
      <c r="K142" s="17"/>
      <c r="L142" s="17"/>
      <c r="M142" s="25"/>
      <c r="O142" s="1292">
        <f t="shared" si="3"/>
        <v>0</v>
      </c>
      <c r="P142" s="881"/>
      <c r="Q142" s="1003"/>
      <c r="R142" s="1005"/>
    </row>
    <row r="143" spans="1:18" s="16" customFormat="1">
      <c r="A143" s="181"/>
      <c r="B143" s="184"/>
      <c r="C143" s="187"/>
      <c r="D143" s="190"/>
      <c r="E143" s="190"/>
      <c r="F143" s="185"/>
      <c r="G143" s="807"/>
      <c r="H143" s="449"/>
      <c r="I143" s="201"/>
      <c r="J143" s="25"/>
      <c r="K143" s="17"/>
      <c r="L143" s="17"/>
      <c r="M143" s="25"/>
      <c r="O143" s="1292">
        <f t="shared" si="3"/>
        <v>0</v>
      </c>
      <c r="P143" s="881"/>
      <c r="Q143" s="1003"/>
      <c r="R143" s="1005"/>
    </row>
    <row r="144" spans="1:18" s="16" customFormat="1">
      <c r="A144" s="181"/>
      <c r="B144" s="184"/>
      <c r="C144" s="187"/>
      <c r="D144" s="190"/>
      <c r="E144" s="190"/>
      <c r="F144" s="185"/>
      <c r="G144" s="807"/>
      <c r="H144" s="449"/>
      <c r="I144" s="201"/>
      <c r="J144" s="25"/>
      <c r="K144" s="17"/>
      <c r="L144" s="17"/>
      <c r="M144" s="25"/>
      <c r="O144" s="1292">
        <f t="shared" si="3"/>
        <v>0</v>
      </c>
      <c r="P144" s="881"/>
      <c r="Q144" s="1003"/>
      <c r="R144" s="1005"/>
    </row>
    <row r="145" spans="1:18" s="16" customFormat="1">
      <c r="A145" s="181" t="s">
        <v>305</v>
      </c>
      <c r="B145" s="184">
        <f>[12]ESTIMACION!$E$99</f>
        <v>118500000</v>
      </c>
      <c r="C145" s="187"/>
      <c r="D145" s="186"/>
      <c r="E145" s="186"/>
      <c r="F145" s="185"/>
      <c r="G145" s="820">
        <f>SUM(G146:G149)</f>
        <v>118500000</v>
      </c>
      <c r="H145" s="449">
        <f>B145-G145</f>
        <v>0</v>
      </c>
      <c r="I145" s="201"/>
      <c r="J145" s="25"/>
      <c r="K145" s="17"/>
      <c r="L145" s="17"/>
      <c r="M145" s="25"/>
      <c r="O145" s="1292">
        <f t="shared" si="3"/>
        <v>0</v>
      </c>
      <c r="P145" s="881"/>
      <c r="Q145" s="1003">
        <f>G139+G146</f>
        <v>79362260</v>
      </c>
      <c r="R145" s="1005"/>
    </row>
    <row r="146" spans="1:18" s="16" customFormat="1" ht="18" customHeight="1">
      <c r="A146" s="1370" t="str">
        <f>[12]ESTIMACION!$D$99</f>
        <v>Servicios de aseo de vías y sitios públicos</v>
      </c>
      <c r="B146" s="184"/>
      <c r="C146" s="187" t="s">
        <v>1120</v>
      </c>
      <c r="D146" s="190" t="s">
        <v>77</v>
      </c>
      <c r="E146" s="190"/>
      <c r="F146" s="185" t="s">
        <v>294</v>
      </c>
      <c r="G146" s="184">
        <v>4062260</v>
      </c>
      <c r="H146" s="449"/>
      <c r="I146" s="797"/>
      <c r="J146" s="444">
        <f>B145*10%</f>
        <v>11850000</v>
      </c>
      <c r="K146" s="17">
        <f>J146-G146</f>
        <v>7787740</v>
      </c>
      <c r="L146" s="17"/>
      <c r="M146" s="25"/>
      <c r="O146" s="1292">
        <f t="shared" si="3"/>
        <v>4062260</v>
      </c>
      <c r="P146" s="881"/>
      <c r="Q146" s="1003">
        <f>6814935+30534150+49800915</f>
        <v>87150000</v>
      </c>
      <c r="R146" s="1005"/>
    </row>
    <row r="147" spans="1:18" s="16" customFormat="1" ht="15.75">
      <c r="A147" s="1370"/>
      <c r="B147" s="184"/>
      <c r="C147" s="187" t="s">
        <v>56</v>
      </c>
      <c r="D147" s="190" t="s">
        <v>41</v>
      </c>
      <c r="E147" s="190"/>
      <c r="F147" s="185" t="s">
        <v>524</v>
      </c>
      <c r="G147" s="184">
        <v>69122155</v>
      </c>
      <c r="H147" s="449"/>
      <c r="J147" s="795">
        <f>[1]GASTOS!$U$339</f>
        <v>69122155</v>
      </c>
      <c r="K147" s="17">
        <f>J147-G147</f>
        <v>0</v>
      </c>
      <c r="L147" s="17"/>
      <c r="M147" s="25"/>
      <c r="O147" s="1292">
        <f t="shared" si="3"/>
        <v>0</v>
      </c>
      <c r="P147" s="881"/>
      <c r="Q147" s="1003">
        <f>Q145-Q146</f>
        <v>-7787740</v>
      </c>
      <c r="R147" s="1005"/>
    </row>
    <row r="148" spans="1:18" s="16" customFormat="1">
      <c r="A148" s="89"/>
      <c r="B148" s="184"/>
      <c r="C148" s="187" t="s">
        <v>56</v>
      </c>
      <c r="D148" s="190" t="s">
        <v>661</v>
      </c>
      <c r="E148" s="190"/>
      <c r="F148" s="185" t="s">
        <v>650</v>
      </c>
      <c r="G148" s="184">
        <f>J148-K148</f>
        <v>45315585</v>
      </c>
      <c r="H148" s="449"/>
      <c r="I148" s="201"/>
      <c r="J148" s="25">
        <f>-('[1]GASTOS SANID.'!$C$8)</f>
        <v>50350650</v>
      </c>
      <c r="K148" s="1009">
        <f>J148*10%</f>
        <v>5035065</v>
      </c>
      <c r="L148" s="997" t="s">
        <v>1338</v>
      </c>
      <c r="M148" s="25"/>
      <c r="O148" s="1292">
        <f t="shared" si="3"/>
        <v>0</v>
      </c>
      <c r="P148" s="881"/>
      <c r="Q148" s="456"/>
      <c r="R148" s="20"/>
    </row>
    <row r="149" spans="1:18" s="16" customFormat="1">
      <c r="A149" s="89"/>
      <c r="B149" s="184"/>
      <c r="C149" s="187"/>
      <c r="D149" s="190"/>
      <c r="E149" s="190"/>
      <c r="F149" s="185"/>
      <c r="G149" s="807"/>
      <c r="H149" s="449"/>
      <c r="I149" s="201"/>
      <c r="J149" s="25"/>
      <c r="K149" s="17">
        <f>K141+K148</f>
        <v>49800915</v>
      </c>
      <c r="L149" s="17"/>
      <c r="M149" s="25">
        <f>14095500+5280+6778176.4+402892650+45315585</f>
        <v>469087191.39999998</v>
      </c>
      <c r="O149" s="1292">
        <f t="shared" si="3"/>
        <v>0</v>
      </c>
      <c r="P149" s="881"/>
      <c r="Q149" s="456"/>
      <c r="R149" s="20"/>
    </row>
    <row r="150" spans="1:18" s="47" customFormat="1">
      <c r="A150" s="984"/>
      <c r="B150" s="985"/>
      <c r="C150" s="986"/>
      <c r="D150" s="987"/>
      <c r="E150" s="987"/>
      <c r="F150" s="988"/>
      <c r="G150" s="989"/>
      <c r="H150" s="966"/>
      <c r="I150" s="967"/>
      <c r="J150" s="968"/>
      <c r="K150" s="18"/>
      <c r="L150" s="18"/>
      <c r="M150" s="968">
        <f>M149-469087191.4</f>
        <v>0</v>
      </c>
      <c r="O150" s="1292">
        <f t="shared" si="3"/>
        <v>0</v>
      </c>
      <c r="P150" s="969"/>
      <c r="Q150" s="1001"/>
      <c r="R150" s="1002"/>
    </row>
    <row r="151" spans="1:18" s="16" customFormat="1" ht="18" hidden="1" customHeight="1">
      <c r="A151" s="181" t="s">
        <v>306</v>
      </c>
      <c r="B151" s="184">
        <f>[12]ESTIMACION!$E$100</f>
        <v>0</v>
      </c>
      <c r="C151" s="187"/>
      <c r="D151" s="186"/>
      <c r="E151" s="186"/>
      <c r="F151" s="185"/>
      <c r="G151" s="820">
        <f>SUM(G152:G154)</f>
        <v>0</v>
      </c>
      <c r="H151" s="449">
        <f>B151-G151</f>
        <v>0</v>
      </c>
      <c r="I151" s="201"/>
      <c r="J151" s="25"/>
      <c r="K151" s="17"/>
      <c r="L151" s="17"/>
      <c r="M151" s="25"/>
      <c r="O151" s="1292">
        <f t="shared" si="3"/>
        <v>0</v>
      </c>
      <c r="P151" s="881"/>
      <c r="Q151" s="456"/>
      <c r="R151" s="20"/>
    </row>
    <row r="152" spans="1:18" s="16" customFormat="1" ht="18" hidden="1" customHeight="1">
      <c r="A152" s="1370" t="str">
        <f>[12]ESTIMACION!$D$100</f>
        <v>Servicios de depósito y tratamiento de basura</v>
      </c>
      <c r="B152" s="184"/>
      <c r="C152" s="187" t="s">
        <v>1120</v>
      </c>
      <c r="D152" s="190" t="s">
        <v>77</v>
      </c>
      <c r="E152" s="190"/>
      <c r="F152" s="185" t="s">
        <v>294</v>
      </c>
      <c r="G152" s="184"/>
      <c r="H152" s="449"/>
      <c r="I152" s="201"/>
      <c r="J152" s="444">
        <f>B151*10%</f>
        <v>0</v>
      </c>
      <c r="K152" s="17">
        <f>J152-G152</f>
        <v>0</v>
      </c>
      <c r="L152" s="17"/>
      <c r="M152" s="25"/>
      <c r="O152" s="1292">
        <f t="shared" si="3"/>
        <v>0</v>
      </c>
      <c r="P152" s="881"/>
      <c r="Q152" s="456"/>
      <c r="R152" s="20"/>
    </row>
    <row r="153" spans="1:18" s="16" customFormat="1" ht="18" hidden="1" customHeight="1">
      <c r="A153" s="1370"/>
      <c r="B153" s="184"/>
      <c r="C153" s="187" t="s">
        <v>56</v>
      </c>
      <c r="D153" s="190" t="s">
        <v>661</v>
      </c>
      <c r="E153" s="190"/>
      <c r="F153" s="185" t="s">
        <v>650</v>
      </c>
      <c r="G153" s="184"/>
      <c r="H153" s="449"/>
      <c r="I153" s="797"/>
      <c r="J153" s="795">
        <f>[1]GASTOS!$AS$339</f>
        <v>469087191.39999998</v>
      </c>
      <c r="K153" s="17">
        <f>J153-G153-G148-G141-G43</f>
        <v>20873676.399999976</v>
      </c>
      <c r="L153" s="17"/>
      <c r="M153" s="25"/>
      <c r="O153" s="1292">
        <f t="shared" si="3"/>
        <v>0</v>
      </c>
      <c r="P153" s="881"/>
      <c r="Q153" s="456"/>
      <c r="R153" s="20"/>
    </row>
    <row r="154" spans="1:18" s="16" customFormat="1" ht="18" hidden="1" customHeight="1">
      <c r="A154" s="181"/>
      <c r="B154" s="184"/>
      <c r="C154" s="187"/>
      <c r="D154" s="190"/>
      <c r="E154" s="190"/>
      <c r="F154" s="185"/>
      <c r="G154" s="807"/>
      <c r="H154" s="449"/>
      <c r="I154" s="201"/>
      <c r="J154" s="25"/>
      <c r="K154" s="17"/>
      <c r="L154" s="17"/>
      <c r="M154" s="25"/>
      <c r="O154" s="1292">
        <f t="shared" si="3"/>
        <v>0</v>
      </c>
      <c r="P154" s="881"/>
      <c r="Q154" s="456"/>
      <c r="R154" s="20"/>
    </row>
    <row r="155" spans="1:18" s="16" customFormat="1" ht="18" hidden="1" customHeight="1">
      <c r="A155" s="181"/>
      <c r="B155" s="184"/>
      <c r="C155" s="187"/>
      <c r="D155" s="190"/>
      <c r="E155" s="190"/>
      <c r="F155" s="185"/>
      <c r="G155" s="807"/>
      <c r="H155" s="449"/>
      <c r="I155" s="201"/>
      <c r="J155" s="25"/>
      <c r="K155" s="17"/>
      <c r="L155" s="17"/>
      <c r="M155" s="25"/>
      <c r="O155" s="1292">
        <f t="shared" si="3"/>
        <v>0</v>
      </c>
      <c r="P155" s="881"/>
      <c r="Q155" s="456"/>
      <c r="R155" s="20"/>
    </row>
    <row r="156" spans="1:18" s="16" customFormat="1" ht="18" hidden="1" customHeight="1">
      <c r="A156" s="181"/>
      <c r="B156" s="184"/>
      <c r="C156" s="187"/>
      <c r="D156" s="190"/>
      <c r="E156" s="190"/>
      <c r="F156" s="185"/>
      <c r="G156" s="807"/>
      <c r="H156" s="449"/>
      <c r="I156" s="201"/>
      <c r="J156" s="25"/>
      <c r="K156" s="17"/>
      <c r="L156" s="17"/>
      <c r="M156" s="25"/>
      <c r="O156" s="1292">
        <f t="shared" si="3"/>
        <v>0</v>
      </c>
      <c r="P156" s="881"/>
      <c r="Q156" s="456"/>
      <c r="R156" s="20"/>
    </row>
    <row r="157" spans="1:18" s="16" customFormat="1" ht="18" hidden="1" customHeight="1">
      <c r="A157" s="181" t="s">
        <v>307</v>
      </c>
      <c r="B157" s="184">
        <f>[12]ESTIMACION!$E$103</f>
        <v>0</v>
      </c>
      <c r="C157" s="187"/>
      <c r="D157" s="186"/>
      <c r="E157" s="186"/>
      <c r="F157" s="185"/>
      <c r="G157" s="820">
        <f>SUM(G158:G159)</f>
        <v>0</v>
      </c>
      <c r="H157" s="449">
        <f>B157-G157</f>
        <v>0</v>
      </c>
      <c r="I157" s="201"/>
      <c r="J157" s="25"/>
      <c r="K157" s="17"/>
      <c r="L157" s="17"/>
      <c r="M157" s="25"/>
      <c r="O157" s="1292">
        <f t="shared" si="3"/>
        <v>0</v>
      </c>
      <c r="P157" s="881"/>
      <c r="Q157" s="456"/>
      <c r="R157" s="20"/>
    </row>
    <row r="158" spans="1:18" s="16" customFormat="1" ht="18" hidden="1" customHeight="1">
      <c r="A158" s="1372" t="str">
        <f>[12]ESTIMACION!$D$103</f>
        <v>Servicios de matadero</v>
      </c>
      <c r="B158" s="184"/>
      <c r="C158" s="187" t="s">
        <v>1120</v>
      </c>
      <c r="D158" s="190" t="s">
        <v>77</v>
      </c>
      <c r="E158" s="190"/>
      <c r="F158" s="185" t="s">
        <v>294</v>
      </c>
      <c r="G158" s="184"/>
      <c r="H158" s="449"/>
      <c r="I158" s="201"/>
      <c r="J158" s="444">
        <f>B157*10%</f>
        <v>0</v>
      </c>
      <c r="K158" s="17">
        <f>J158-G158</f>
        <v>0</v>
      </c>
      <c r="L158" s="17"/>
      <c r="M158" s="25"/>
      <c r="O158" s="1292">
        <f t="shared" si="3"/>
        <v>0</v>
      </c>
      <c r="P158" s="881"/>
      <c r="Q158" s="456"/>
      <c r="R158" s="20"/>
    </row>
    <row r="159" spans="1:18" s="47" customFormat="1" ht="18" hidden="1" customHeight="1">
      <c r="A159" s="1372"/>
      <c r="B159" s="184"/>
      <c r="C159" s="187" t="s">
        <v>56</v>
      </c>
      <c r="D159" s="190" t="s">
        <v>1095</v>
      </c>
      <c r="E159" s="190"/>
      <c r="F159" s="185" t="s">
        <v>1096</v>
      </c>
      <c r="G159" s="184"/>
      <c r="H159" s="966"/>
      <c r="I159" s="967"/>
      <c r="J159" s="1023">
        <f>[1]GASTOS!$AB$339</f>
        <v>0</v>
      </c>
      <c r="K159" s="18">
        <f>J159-G159-N159</f>
        <v>0</v>
      </c>
      <c r="L159" s="18"/>
      <c r="M159" s="968" t="s">
        <v>1217</v>
      </c>
      <c r="N159" s="1024">
        <v>0</v>
      </c>
      <c r="O159" s="1292">
        <f t="shared" si="3"/>
        <v>0</v>
      </c>
      <c r="P159" s="969"/>
      <c r="Q159" s="1001"/>
      <c r="R159" s="1002"/>
    </row>
    <row r="160" spans="1:18" s="16" customFormat="1" ht="18" hidden="1" customHeight="1">
      <c r="A160" s="181"/>
      <c r="B160" s="184"/>
      <c r="C160" s="187"/>
      <c r="D160" s="190"/>
      <c r="E160" s="190"/>
      <c r="F160" s="185"/>
      <c r="G160" s="807"/>
      <c r="H160" s="449"/>
      <c r="I160" s="201"/>
      <c r="J160" s="25"/>
      <c r="K160" s="17"/>
      <c r="L160" s="17"/>
      <c r="M160" s="25"/>
      <c r="O160" s="1292">
        <f t="shared" si="3"/>
        <v>0</v>
      </c>
      <c r="P160" s="881"/>
      <c r="Q160" s="456"/>
      <c r="R160" s="20"/>
    </row>
    <row r="161" spans="1:18" s="16" customFormat="1" ht="18" hidden="1" customHeight="1">
      <c r="A161" s="181"/>
      <c r="B161" s="184"/>
      <c r="C161" s="187"/>
      <c r="D161" s="190"/>
      <c r="E161" s="190"/>
      <c r="F161" s="185"/>
      <c r="G161" s="807"/>
      <c r="H161" s="449"/>
      <c r="I161" s="201"/>
      <c r="J161" s="25"/>
      <c r="K161" s="17"/>
      <c r="L161" s="17"/>
      <c r="M161" s="25"/>
      <c r="O161" s="1292">
        <f t="shared" si="3"/>
        <v>0</v>
      </c>
      <c r="P161" s="881"/>
      <c r="Q161" s="456"/>
      <c r="R161" s="20"/>
    </row>
    <row r="162" spans="1:18" s="16" customFormat="1" ht="18" hidden="1" customHeight="1">
      <c r="A162" s="181"/>
      <c r="B162" s="184"/>
      <c r="C162" s="187"/>
      <c r="D162" s="190"/>
      <c r="E162" s="190"/>
      <c r="F162" s="185"/>
      <c r="G162" s="807"/>
      <c r="H162" s="449"/>
      <c r="I162" s="201"/>
      <c r="J162" s="25"/>
      <c r="K162" s="17"/>
      <c r="L162" s="17"/>
      <c r="M162" s="25"/>
      <c r="O162" s="1292">
        <f t="shared" si="3"/>
        <v>0</v>
      </c>
      <c r="P162" s="881"/>
      <c r="Q162" s="456"/>
      <c r="R162" s="20"/>
    </row>
    <row r="163" spans="1:18" s="16" customFormat="1" ht="28.5">
      <c r="A163" s="911" t="s">
        <v>1273</v>
      </c>
      <c r="B163" s="820">
        <f>SUM(B164:B168)</f>
        <v>18700000</v>
      </c>
      <c r="C163" s="912"/>
      <c r="D163" s="913"/>
      <c r="E163" s="913"/>
      <c r="F163" s="914"/>
      <c r="G163" s="820">
        <f>SUM(G164:G169)</f>
        <v>52500000</v>
      </c>
      <c r="H163" s="449">
        <f>B163-G163</f>
        <v>-33800000</v>
      </c>
      <c r="I163" s="201"/>
      <c r="K163" s="6"/>
      <c r="M163" s="25"/>
      <c r="O163" s="1292">
        <f t="shared" ref="O163:O200" si="4">IF(F163="Administración General",G163,0)</f>
        <v>0</v>
      </c>
      <c r="Q163" s="456"/>
      <c r="R163" s="20"/>
    </row>
    <row r="164" spans="1:18" s="16" customFormat="1" ht="45">
      <c r="A164" s="916" t="s">
        <v>1274</v>
      </c>
      <c r="B164" s="917">
        <f>[12]ESTIMACION!$F$113</f>
        <v>16500000</v>
      </c>
      <c r="C164" s="912" t="s">
        <v>56</v>
      </c>
      <c r="D164" s="918" t="s">
        <v>90</v>
      </c>
      <c r="E164" s="918"/>
      <c r="F164" s="914" t="s">
        <v>1275</v>
      </c>
      <c r="G164" s="919">
        <v>52500000</v>
      </c>
      <c r="H164" s="915"/>
      <c r="I164" s="201"/>
      <c r="K164" s="6"/>
      <c r="M164" s="25"/>
      <c r="O164" s="1292">
        <f t="shared" si="4"/>
        <v>0</v>
      </c>
      <c r="Q164" s="456"/>
      <c r="R164" s="20"/>
    </row>
    <row r="165" spans="1:18" s="16" customFormat="1" ht="60">
      <c r="A165" s="916" t="s">
        <v>1276</v>
      </c>
      <c r="B165" s="920">
        <f>[12]ESTIMACION!$E$136</f>
        <v>2200000</v>
      </c>
      <c r="C165" s="912"/>
      <c r="D165" s="913"/>
      <c r="E165" s="913"/>
      <c r="F165" s="914"/>
      <c r="G165" s="919"/>
      <c r="H165" s="915"/>
      <c r="I165" s="201"/>
      <c r="K165" s="6"/>
      <c r="M165" s="25"/>
      <c r="O165" s="1292">
        <f t="shared" si="4"/>
        <v>0</v>
      </c>
      <c r="Q165" s="456"/>
      <c r="R165" s="20"/>
    </row>
    <row r="166" spans="1:18" s="16" customFormat="1" ht="60">
      <c r="A166" s="916" t="s">
        <v>1277</v>
      </c>
      <c r="B166" s="184">
        <f>[12]ESTIMACION!$E$219</f>
        <v>0</v>
      </c>
      <c r="C166" s="912"/>
      <c r="D166" s="918"/>
      <c r="E166" s="918"/>
      <c r="F166" s="914"/>
      <c r="G166" s="919"/>
      <c r="I166" s="201"/>
      <c r="K166" s="6"/>
      <c r="M166" s="25"/>
      <c r="O166" s="1292">
        <f t="shared" si="4"/>
        <v>0</v>
      </c>
      <c r="Q166" s="456"/>
      <c r="R166" s="20"/>
    </row>
    <row r="167" spans="1:18" s="16" customFormat="1" ht="75">
      <c r="A167" s="916" t="s">
        <v>1278</v>
      </c>
      <c r="B167" s="184">
        <f>[12]ESTIMACION!$F$221</f>
        <v>0</v>
      </c>
      <c r="C167" s="912"/>
      <c r="D167" s="918"/>
      <c r="E167" s="918"/>
      <c r="F167" s="914"/>
      <c r="G167" s="919"/>
      <c r="I167" s="201"/>
      <c r="K167" s="6"/>
      <c r="M167" s="25"/>
      <c r="O167" s="1292">
        <f t="shared" si="4"/>
        <v>0</v>
      </c>
      <c r="Q167" s="456"/>
      <c r="R167" s="20"/>
    </row>
    <row r="168" spans="1:18" s="16" customFormat="1" ht="45">
      <c r="A168" s="916" t="s">
        <v>1279</v>
      </c>
      <c r="B168" s="184">
        <f>[12]ESTIMACION!$E$231</f>
        <v>0</v>
      </c>
      <c r="C168" s="912"/>
      <c r="D168" s="918"/>
      <c r="E168" s="918"/>
      <c r="F168" s="914"/>
      <c r="G168" s="919"/>
      <c r="I168" s="201"/>
      <c r="K168" s="6"/>
      <c r="M168" s="25"/>
      <c r="O168" s="1292">
        <f t="shared" si="4"/>
        <v>0</v>
      </c>
      <c r="Q168" s="456"/>
      <c r="R168" s="20"/>
    </row>
    <row r="169" spans="1:18" s="16" customFormat="1">
      <c r="A169" s="916"/>
      <c r="B169" s="184"/>
      <c r="C169" s="912"/>
      <c r="D169" s="918"/>
      <c r="E169" s="918"/>
      <c r="F169" s="914"/>
      <c r="G169" s="919"/>
      <c r="I169" s="201"/>
      <c r="K169" s="6"/>
      <c r="M169" s="25"/>
      <c r="O169" s="1292">
        <f t="shared" si="4"/>
        <v>0</v>
      </c>
      <c r="Q169" s="456"/>
      <c r="R169" s="20"/>
    </row>
    <row r="170" spans="1:18" s="47" customFormat="1">
      <c r="A170" s="916"/>
      <c r="B170" s="184"/>
      <c r="C170" s="912"/>
      <c r="D170" s="918"/>
      <c r="E170" s="918"/>
      <c r="F170" s="914"/>
      <c r="G170" s="919"/>
      <c r="I170" s="967"/>
      <c r="K170" s="990"/>
      <c r="M170" s="968"/>
      <c r="O170" s="1292">
        <f t="shared" si="4"/>
        <v>0</v>
      </c>
      <c r="Q170" s="1001"/>
      <c r="R170" s="1002"/>
    </row>
    <row r="171" spans="1:18" s="16" customFormat="1" hidden="1">
      <c r="A171" s="914"/>
      <c r="B171" s="184"/>
      <c r="C171" s="912"/>
      <c r="D171" s="918"/>
      <c r="E171" s="918"/>
      <c r="F171" s="914"/>
      <c r="G171" s="919"/>
      <c r="I171" s="201"/>
      <c r="K171" s="6"/>
      <c r="M171" s="25"/>
      <c r="O171" s="1292">
        <f t="shared" si="4"/>
        <v>0</v>
      </c>
      <c r="Q171" s="456"/>
      <c r="R171" s="20"/>
    </row>
    <row r="172" spans="1:18" s="16" customFormat="1" hidden="1">
      <c r="A172" s="181" t="s">
        <v>220</v>
      </c>
      <c r="B172" s="184">
        <f>[12]ESTIMACION!$E$122</f>
        <v>0</v>
      </c>
      <c r="C172" s="187"/>
      <c r="D172" s="186"/>
      <c r="E172" s="186"/>
      <c r="F172" s="185"/>
      <c r="G172" s="820">
        <f>SUM(G173:G174)</f>
        <v>0</v>
      </c>
      <c r="H172" s="449">
        <f>B172-G172</f>
        <v>0</v>
      </c>
      <c r="I172" s="201"/>
      <c r="J172" s="25"/>
      <c r="K172" s="17"/>
      <c r="L172" s="17"/>
      <c r="M172" s="25"/>
      <c r="O172" s="1292">
        <f t="shared" si="4"/>
        <v>0</v>
      </c>
      <c r="P172" s="881"/>
      <c r="Q172" s="456"/>
      <c r="R172" s="20"/>
    </row>
    <row r="173" spans="1:18" s="16" customFormat="1" ht="18" hidden="1" customHeight="1">
      <c r="A173" s="181" t="str">
        <f>[12]ESTIMACION!$D$121</f>
        <v>Venta de otros servicios</v>
      </c>
      <c r="B173" s="184"/>
      <c r="C173" s="187" t="s">
        <v>1120</v>
      </c>
      <c r="D173" s="190" t="s">
        <v>77</v>
      </c>
      <c r="E173" s="190"/>
      <c r="F173" s="185" t="s">
        <v>294</v>
      </c>
      <c r="G173" s="184"/>
      <c r="H173" s="449"/>
      <c r="I173" s="201"/>
      <c r="J173" s="444">
        <f>B172*10%</f>
        <v>0</v>
      </c>
      <c r="K173" s="17">
        <f>J173-G173</f>
        <v>0</v>
      </c>
      <c r="L173" s="17"/>
      <c r="M173" s="25"/>
      <c r="O173" s="1292">
        <f t="shared" si="4"/>
        <v>0</v>
      </c>
      <c r="P173" s="881"/>
      <c r="Q173" s="456"/>
      <c r="R173" s="20"/>
    </row>
    <row r="174" spans="1:18" s="16" customFormat="1" hidden="1">
      <c r="A174" s="181" t="s">
        <v>1179</v>
      </c>
      <c r="B174" s="184"/>
      <c r="C174" s="187" t="s">
        <v>56</v>
      </c>
      <c r="D174" s="190" t="s">
        <v>1095</v>
      </c>
      <c r="E174" s="190"/>
      <c r="F174" s="185" t="s">
        <v>1096</v>
      </c>
      <c r="G174" s="184"/>
      <c r="H174" s="449"/>
      <c r="I174" s="201"/>
      <c r="J174" s="795">
        <f>K159</f>
        <v>0</v>
      </c>
      <c r="K174" s="17">
        <f>J174-G174</f>
        <v>0</v>
      </c>
      <c r="L174" s="17"/>
      <c r="M174" s="25"/>
      <c r="O174" s="1292">
        <f t="shared" si="4"/>
        <v>0</v>
      </c>
      <c r="P174" s="881"/>
      <c r="Q174" s="456"/>
      <c r="R174" s="20"/>
    </row>
    <row r="175" spans="1:18" s="16" customFormat="1" hidden="1">
      <c r="A175" s="181"/>
      <c r="B175" s="184"/>
      <c r="C175" s="187"/>
      <c r="D175" s="190"/>
      <c r="E175" s="190"/>
      <c r="F175" s="185"/>
      <c r="G175" s="807"/>
      <c r="H175" s="449"/>
      <c r="I175" s="201"/>
      <c r="J175" s="25"/>
      <c r="K175" s="17"/>
      <c r="L175" s="17"/>
      <c r="M175" s="25"/>
      <c r="O175" s="1292">
        <f t="shared" si="4"/>
        <v>0</v>
      </c>
      <c r="P175" s="881"/>
      <c r="Q175" s="456"/>
      <c r="R175" s="20"/>
    </row>
    <row r="176" spans="1:18" s="16" customFormat="1" hidden="1">
      <c r="A176" s="181"/>
      <c r="B176" s="184"/>
      <c r="C176" s="187"/>
      <c r="D176" s="190"/>
      <c r="E176" s="190"/>
      <c r="F176" s="185"/>
      <c r="G176" s="807"/>
      <c r="H176" s="449"/>
      <c r="I176" s="201"/>
      <c r="J176" s="25"/>
      <c r="K176" s="17"/>
      <c r="L176" s="17"/>
      <c r="M176" s="25"/>
      <c r="O176" s="1292">
        <f t="shared" si="4"/>
        <v>0</v>
      </c>
      <c r="P176" s="881"/>
      <c r="Q176" s="456"/>
      <c r="R176" s="20"/>
    </row>
    <row r="177" spans="1:18" s="16" customFormat="1" hidden="1">
      <c r="A177" s="181"/>
      <c r="B177" s="184"/>
      <c r="C177" s="187"/>
      <c r="D177" s="190"/>
      <c r="E177" s="190"/>
      <c r="F177" s="185"/>
      <c r="G177" s="807"/>
      <c r="H177" s="449"/>
      <c r="I177" s="201"/>
      <c r="J177" s="25"/>
      <c r="K177" s="17"/>
      <c r="L177" s="17"/>
      <c r="M177" s="25"/>
      <c r="O177" s="1292">
        <f t="shared" si="4"/>
        <v>0</v>
      </c>
      <c r="P177" s="881"/>
      <c r="Q177" s="456"/>
      <c r="R177" s="20"/>
    </row>
    <row r="178" spans="1:18" s="16" customFormat="1">
      <c r="A178" s="181" t="s">
        <v>1139</v>
      </c>
      <c r="B178" s="184">
        <f>[12]ESTIMACION!$E$129</f>
        <v>10500000</v>
      </c>
      <c r="C178" s="187"/>
      <c r="D178" s="186"/>
      <c r="E178" s="186"/>
      <c r="F178" s="313"/>
      <c r="G178" s="820">
        <f>SUM(G179:G181)</f>
        <v>10500000</v>
      </c>
      <c r="H178" s="449">
        <f>B178-G178</f>
        <v>0</v>
      </c>
      <c r="I178" s="201"/>
      <c r="J178" s="25"/>
      <c r="K178" s="17"/>
      <c r="L178" s="17"/>
      <c r="M178" s="25"/>
      <c r="O178" s="1292">
        <f t="shared" si="4"/>
        <v>0</v>
      </c>
      <c r="P178" s="881"/>
      <c r="Q178" s="456"/>
      <c r="R178" s="20"/>
    </row>
    <row r="179" spans="1:18" s="16" customFormat="1">
      <c r="A179" s="1372" t="str">
        <f>[12]ESTIMACION!$D$129</f>
        <v>Derechos de estacionamiento y terminales</v>
      </c>
      <c r="B179" s="184"/>
      <c r="C179" s="187" t="s">
        <v>65</v>
      </c>
      <c r="D179" s="190" t="s">
        <v>41</v>
      </c>
      <c r="E179" s="190"/>
      <c r="F179" s="185" t="s">
        <v>294</v>
      </c>
      <c r="G179" s="184">
        <v>272262</v>
      </c>
      <c r="H179" s="449"/>
      <c r="I179" s="797"/>
      <c r="J179" s="444">
        <f>B178*10%</f>
        <v>1050000</v>
      </c>
      <c r="K179" s="17">
        <f>J179-G179</f>
        <v>777738</v>
      </c>
      <c r="L179" s="997">
        <f>J179+M127</f>
        <v>5900000</v>
      </c>
      <c r="M179" s="1344" t="s">
        <v>1337</v>
      </c>
      <c r="O179" s="1292">
        <f t="shared" si="4"/>
        <v>272262</v>
      </c>
      <c r="P179" s="881"/>
      <c r="Q179" s="456"/>
      <c r="R179" s="20"/>
    </row>
    <row r="180" spans="1:18" s="16" customFormat="1" ht="30">
      <c r="A180" s="1372"/>
      <c r="B180" s="184"/>
      <c r="C180" s="187" t="s">
        <v>56</v>
      </c>
      <c r="D180" s="190" t="s">
        <v>162</v>
      </c>
      <c r="E180" s="190"/>
      <c r="F180" s="183" t="s">
        <v>1138</v>
      </c>
      <c r="G180" s="184">
        <v>10227738</v>
      </c>
      <c r="H180" s="449" t="s">
        <v>1022</v>
      </c>
      <c r="I180" s="201"/>
      <c r="J180" s="795">
        <f>K127</f>
        <v>10227738</v>
      </c>
      <c r="K180" s="17">
        <f>J180-G180</f>
        <v>0</v>
      </c>
      <c r="L180" s="17"/>
      <c r="M180" s="25">
        <f>43650000+10227738</f>
        <v>53877738</v>
      </c>
      <c r="O180" s="1292">
        <f t="shared" si="4"/>
        <v>0</v>
      </c>
      <c r="P180" s="881"/>
      <c r="Q180" s="456"/>
      <c r="R180" s="20"/>
    </row>
    <row r="181" spans="1:18" s="16" customFormat="1">
      <c r="A181" s="181"/>
      <c r="B181" s="184"/>
      <c r="C181" s="187"/>
      <c r="D181" s="190"/>
      <c r="E181" s="190"/>
      <c r="F181" s="185"/>
      <c r="G181" s="807"/>
      <c r="H181" s="449"/>
      <c r="I181" s="201"/>
      <c r="J181" s="25"/>
      <c r="K181" s="17"/>
      <c r="L181" s="17"/>
      <c r="M181" s="25"/>
      <c r="O181" s="1292">
        <f t="shared" si="4"/>
        <v>0</v>
      </c>
      <c r="P181" s="881"/>
      <c r="Q181" s="456"/>
      <c r="R181" s="20"/>
    </row>
    <row r="182" spans="1:18" s="47" customFormat="1">
      <c r="A182" s="181"/>
      <c r="B182" s="184"/>
      <c r="C182" s="187"/>
      <c r="D182" s="190"/>
      <c r="E182" s="190"/>
      <c r="F182" s="185"/>
      <c r="G182" s="807"/>
      <c r="H182" s="966"/>
      <c r="I182" s="967"/>
      <c r="J182" s="968"/>
      <c r="K182" s="18"/>
      <c r="L182" s="18"/>
      <c r="M182" s="968"/>
      <c r="N182" s="16"/>
      <c r="O182" s="1292">
        <f t="shared" si="4"/>
        <v>0</v>
      </c>
      <c r="P182" s="969"/>
      <c r="Q182" s="1001"/>
      <c r="R182" s="1002"/>
    </row>
    <row r="183" spans="1:18" s="16" customFormat="1" hidden="1">
      <c r="A183" s="181"/>
      <c r="B183" s="184"/>
      <c r="C183" s="187"/>
      <c r="D183" s="190"/>
      <c r="E183" s="190"/>
      <c r="F183" s="185"/>
      <c r="G183" s="807"/>
      <c r="H183" s="449"/>
      <c r="I183" s="201"/>
      <c r="J183" s="25"/>
      <c r="K183" s="17"/>
      <c r="L183" s="17"/>
      <c r="M183" s="25"/>
      <c r="O183" s="1292">
        <f t="shared" si="4"/>
        <v>0</v>
      </c>
      <c r="P183" s="881"/>
      <c r="Q183" s="456"/>
      <c r="R183" s="20"/>
    </row>
    <row r="184" spans="1:18" s="16" customFormat="1">
      <c r="A184" s="181" t="s">
        <v>260</v>
      </c>
      <c r="B184" s="184">
        <f>[12]ESTIMACION!$E$130</f>
        <v>27500000</v>
      </c>
      <c r="C184" s="187"/>
      <c r="D184" s="186"/>
      <c r="E184" s="186"/>
      <c r="F184" s="313"/>
      <c r="G184" s="820">
        <f>SUM(G185:G187)</f>
        <v>27500000</v>
      </c>
      <c r="H184" s="449">
        <f>B184-G184</f>
        <v>0</v>
      </c>
      <c r="I184" s="201"/>
      <c r="J184" s="25"/>
      <c r="K184" s="17"/>
      <c r="L184" s="17"/>
      <c r="M184" s="25"/>
      <c r="O184" s="1292">
        <f t="shared" si="4"/>
        <v>0</v>
      </c>
      <c r="P184" s="881"/>
      <c r="Q184" s="456"/>
      <c r="R184" s="20"/>
    </row>
    <row r="185" spans="1:18" s="16" customFormat="1">
      <c r="A185" s="181" t="str">
        <f>[12]ESTIMACION!$D$130</f>
        <v>Parquímetros</v>
      </c>
      <c r="B185" s="184"/>
      <c r="C185" s="187" t="s">
        <v>65</v>
      </c>
      <c r="D185" s="190" t="s">
        <v>41</v>
      </c>
      <c r="E185" s="190"/>
      <c r="F185" s="185" t="s">
        <v>294</v>
      </c>
      <c r="G185" s="184">
        <v>2750000</v>
      </c>
      <c r="H185" s="449"/>
      <c r="I185" s="201"/>
      <c r="J185" s="444">
        <f>B184*10%</f>
        <v>2750000</v>
      </c>
      <c r="K185" s="17">
        <f>J185-G185</f>
        <v>0</v>
      </c>
      <c r="L185" s="17"/>
      <c r="M185" s="25"/>
      <c r="O185" s="1292">
        <f t="shared" si="4"/>
        <v>2750000</v>
      </c>
      <c r="P185" s="881"/>
      <c r="Q185" s="456"/>
      <c r="R185" s="20"/>
    </row>
    <row r="186" spans="1:18" s="16" customFormat="1" ht="30">
      <c r="A186" s="89"/>
      <c r="B186" s="184"/>
      <c r="C186" s="187" t="s">
        <v>56</v>
      </c>
      <c r="D186" s="190" t="s">
        <v>162</v>
      </c>
      <c r="E186" s="190"/>
      <c r="F186" s="183" t="s">
        <v>1203</v>
      </c>
      <c r="G186" s="184">
        <v>24750000</v>
      </c>
      <c r="H186" s="449"/>
      <c r="I186" s="884"/>
      <c r="J186" s="795">
        <f>[1]GASTOS!$AQ$339</f>
        <v>66442477</v>
      </c>
      <c r="K186" s="17">
        <f>J186-G186</f>
        <v>41692477</v>
      </c>
      <c r="L186" s="17"/>
      <c r="M186" s="25">
        <f>24750000+41692477</f>
        <v>66442477</v>
      </c>
      <c r="O186" s="1292">
        <f t="shared" si="4"/>
        <v>0</v>
      </c>
      <c r="P186" s="881"/>
      <c r="Q186" s="456"/>
      <c r="R186" s="20"/>
    </row>
    <row r="187" spans="1:18" s="16" customFormat="1">
      <c r="A187" s="181"/>
      <c r="B187" s="184"/>
      <c r="C187" s="187"/>
      <c r="D187" s="190"/>
      <c r="E187" s="190"/>
      <c r="F187" s="185"/>
      <c r="G187" s="807"/>
      <c r="H187" s="449"/>
      <c r="I187" s="201"/>
      <c r="J187" s="25"/>
      <c r="K187" s="17"/>
      <c r="L187" s="17"/>
      <c r="M187" s="25"/>
      <c r="O187" s="1292">
        <f t="shared" si="4"/>
        <v>0</v>
      </c>
      <c r="P187" s="881"/>
      <c r="Q187" s="456"/>
      <c r="R187" s="20"/>
    </row>
    <row r="188" spans="1:18" s="16" customFormat="1">
      <c r="A188" s="181"/>
      <c r="B188" s="184"/>
      <c r="C188" s="187"/>
      <c r="D188" s="190"/>
      <c r="E188" s="190"/>
      <c r="F188" s="185"/>
      <c r="G188" s="807"/>
      <c r="H188" s="449"/>
      <c r="I188" s="201"/>
      <c r="J188" s="25"/>
      <c r="K188" s="17"/>
      <c r="L188" s="17"/>
      <c r="M188" s="25"/>
      <c r="O188" s="1292">
        <f t="shared" si="4"/>
        <v>0</v>
      </c>
      <c r="P188" s="881"/>
      <c r="Q188" s="456"/>
      <c r="R188" s="20"/>
    </row>
    <row r="189" spans="1:18" s="16" customFormat="1" ht="20.25" hidden="1">
      <c r="A189" s="181"/>
      <c r="B189" s="184"/>
      <c r="C189" s="187"/>
      <c r="D189" s="190"/>
      <c r="E189" s="190"/>
      <c r="F189" s="185"/>
      <c r="G189" s="807"/>
      <c r="H189" s="449"/>
      <c r="I189" s="201"/>
      <c r="J189" s="25"/>
      <c r="K189" s="17"/>
      <c r="L189" s="17"/>
      <c r="M189" s="25"/>
      <c r="O189" s="1292">
        <f t="shared" si="4"/>
        <v>0</v>
      </c>
      <c r="P189" s="881"/>
      <c r="Q189" s="1004">
        <f>SUM(Q190:Q191)</f>
        <v>66442477</v>
      </c>
      <c r="R189" s="20"/>
    </row>
    <row r="190" spans="1:18" s="16" customFormat="1">
      <c r="A190" s="181" t="s">
        <v>231</v>
      </c>
      <c r="B190" s="184">
        <f>[12]ESTIMACION!$E$179</f>
        <v>90000000</v>
      </c>
      <c r="C190" s="187"/>
      <c r="D190" s="186"/>
      <c r="E190" s="186"/>
      <c r="F190" s="185"/>
      <c r="G190" s="820">
        <f>SUM(G191:G195)</f>
        <v>90000000</v>
      </c>
      <c r="H190" s="449">
        <f>B190-G190</f>
        <v>0</v>
      </c>
      <c r="I190" s="201"/>
      <c r="J190" s="25"/>
      <c r="K190" s="17"/>
      <c r="L190" s="17"/>
      <c r="M190" s="25"/>
      <c r="O190" s="1292">
        <f t="shared" si="4"/>
        <v>0</v>
      </c>
      <c r="P190" s="881"/>
      <c r="Q190" s="1003">
        <v>24750000</v>
      </c>
      <c r="R190" s="20"/>
    </row>
    <row r="191" spans="1:18" s="16" customFormat="1">
      <c r="A191" s="181" t="str">
        <f>[12]ESTIMACION!$D$178</f>
        <v>Multas de tránsito</v>
      </c>
      <c r="B191" s="184"/>
      <c r="C191" s="187" t="s">
        <v>65</v>
      </c>
      <c r="D191" s="190" t="s">
        <v>41</v>
      </c>
      <c r="E191" s="190"/>
      <c r="F191" s="185" t="s">
        <v>294</v>
      </c>
      <c r="G191" s="184">
        <v>9000000</v>
      </c>
      <c r="H191" s="449"/>
      <c r="I191" s="201"/>
      <c r="J191" s="444">
        <f>B190*10%</f>
        <v>9000000</v>
      </c>
      <c r="K191" s="17">
        <f>J191-G191</f>
        <v>0</v>
      </c>
      <c r="L191" s="997">
        <f>G185+G191</f>
        <v>11750000</v>
      </c>
      <c r="M191" s="1344" t="s">
        <v>1341</v>
      </c>
      <c r="O191" s="1292">
        <f t="shared" si="4"/>
        <v>9000000</v>
      </c>
      <c r="P191" s="881"/>
      <c r="Q191" s="1003">
        <v>41692477</v>
      </c>
      <c r="R191" s="20"/>
    </row>
    <row r="192" spans="1:18" s="16" customFormat="1" ht="30">
      <c r="A192" s="285" t="s">
        <v>1180</v>
      </c>
      <c r="B192" s="184"/>
      <c r="C192" s="187" t="s">
        <v>56</v>
      </c>
      <c r="D192" s="190" t="s">
        <v>162</v>
      </c>
      <c r="E192" s="190"/>
      <c r="F192" s="183" t="s">
        <v>1203</v>
      </c>
      <c r="G192" s="184">
        <v>41692477</v>
      </c>
      <c r="H192" s="449"/>
      <c r="I192" s="201"/>
      <c r="J192" s="795">
        <f>K186</f>
        <v>41692477</v>
      </c>
      <c r="K192" s="17">
        <f>J192-G192</f>
        <v>0</v>
      </c>
      <c r="L192" s="17"/>
      <c r="M192" s="25"/>
      <c r="O192" s="1292">
        <f t="shared" si="4"/>
        <v>0</v>
      </c>
      <c r="P192" s="881"/>
      <c r="Q192" s="456"/>
      <c r="R192" s="20"/>
    </row>
    <row r="193" spans="1:18" s="16" customFormat="1">
      <c r="A193" s="285"/>
      <c r="B193" s="184"/>
      <c r="C193" s="1034" t="s">
        <v>66</v>
      </c>
      <c r="D193" s="190" t="s">
        <v>85</v>
      </c>
      <c r="E193" s="190" t="s">
        <v>79</v>
      </c>
      <c r="F193" s="313" t="s">
        <v>1342</v>
      </c>
      <c r="G193" s="983">
        <v>39307523</v>
      </c>
      <c r="H193" s="449"/>
      <c r="I193" s="201"/>
      <c r="J193" s="25"/>
      <c r="K193" s="17"/>
      <c r="L193" s="17"/>
      <c r="M193" s="25"/>
      <c r="O193" s="1292">
        <f t="shared" si="4"/>
        <v>0</v>
      </c>
      <c r="P193" s="881"/>
      <c r="Q193" s="456"/>
      <c r="R193" s="20"/>
    </row>
    <row r="194" spans="1:18" s="16" customFormat="1">
      <c r="A194" s="285"/>
      <c r="B194" s="184"/>
      <c r="C194" s="187"/>
      <c r="D194" s="190"/>
      <c r="E194" s="190"/>
      <c r="F194" s="185"/>
      <c r="G194" s="184"/>
      <c r="H194" s="449"/>
      <c r="I194" s="201"/>
      <c r="J194" s="25"/>
      <c r="K194" s="17"/>
      <c r="L194" s="17"/>
      <c r="M194" s="25"/>
      <c r="O194" s="1292">
        <f t="shared" si="4"/>
        <v>0</v>
      </c>
      <c r="P194" s="881"/>
      <c r="Q194" s="456"/>
      <c r="R194" s="20"/>
    </row>
    <row r="195" spans="1:18" s="16" customFormat="1">
      <c r="A195" s="89"/>
      <c r="B195" s="184"/>
      <c r="C195" s="187"/>
      <c r="D195" s="190"/>
      <c r="E195" s="190"/>
      <c r="F195" s="185"/>
      <c r="G195" s="807"/>
      <c r="H195" s="449"/>
      <c r="I195" s="201"/>
      <c r="J195" s="25"/>
      <c r="K195" s="17"/>
      <c r="L195" s="17"/>
      <c r="M195" s="25"/>
      <c r="O195" s="1292">
        <f t="shared" si="4"/>
        <v>0</v>
      </c>
      <c r="P195" s="881"/>
      <c r="Q195" s="456"/>
      <c r="R195" s="20"/>
    </row>
    <row r="196" spans="1:18" s="16" customFormat="1">
      <c r="A196" s="89"/>
      <c r="B196" s="184"/>
      <c r="C196" s="187"/>
      <c r="D196" s="190"/>
      <c r="E196" s="190"/>
      <c r="F196" s="185"/>
      <c r="G196" s="807"/>
      <c r="H196" s="449"/>
      <c r="I196" s="201"/>
      <c r="J196" s="25"/>
      <c r="K196" s="17"/>
      <c r="L196" s="17"/>
      <c r="M196" s="25"/>
      <c r="O196" s="1292">
        <f t="shared" si="4"/>
        <v>0</v>
      </c>
      <c r="P196" s="881"/>
      <c r="Q196" s="456"/>
      <c r="R196" s="20"/>
    </row>
    <row r="197" spans="1:18" s="16" customFormat="1">
      <c r="A197" s="181"/>
      <c r="B197" s="184"/>
      <c r="C197" s="187"/>
      <c r="D197" s="190"/>
      <c r="E197" s="190"/>
      <c r="F197" s="185"/>
      <c r="G197" s="807"/>
      <c r="H197" s="449"/>
      <c r="I197" s="201"/>
      <c r="J197" s="25"/>
      <c r="K197" s="17"/>
      <c r="L197" s="17"/>
      <c r="M197" s="25"/>
      <c r="O197" s="1292">
        <f t="shared" si="4"/>
        <v>0</v>
      </c>
      <c r="P197" s="881"/>
      <c r="Q197" s="456"/>
      <c r="R197" s="20"/>
    </row>
    <row r="198" spans="1:18" s="16" customFormat="1">
      <c r="A198" s="1285" t="s">
        <v>233</v>
      </c>
      <c r="B198" s="184">
        <f>[12]ESTIMACION!$E$181</f>
        <v>7000000</v>
      </c>
      <c r="C198" s="187"/>
      <c r="D198" s="186"/>
      <c r="E198" s="186"/>
      <c r="F198" s="185"/>
      <c r="G198" s="820">
        <f>SUM(G199:G200)</f>
        <v>7000000</v>
      </c>
      <c r="H198" s="449">
        <f>B198-G198</f>
        <v>0</v>
      </c>
      <c r="I198" s="201"/>
      <c r="J198" s="25"/>
      <c r="K198" s="17"/>
      <c r="L198" s="17"/>
      <c r="M198" s="25"/>
      <c r="O198" s="1292">
        <f t="shared" si="4"/>
        <v>0</v>
      </c>
      <c r="P198" s="881"/>
      <c r="Q198" s="456"/>
      <c r="R198" s="20"/>
    </row>
    <row r="199" spans="1:18" s="16" customFormat="1" ht="30">
      <c r="A199" s="1285" t="s">
        <v>1593</v>
      </c>
      <c r="B199" s="184"/>
      <c r="C199" s="187" t="s">
        <v>1120</v>
      </c>
      <c r="D199" s="190" t="s">
        <v>77</v>
      </c>
      <c r="E199" s="190"/>
      <c r="F199" s="185" t="s">
        <v>294</v>
      </c>
      <c r="G199" s="184">
        <f>B198</f>
        <v>7000000</v>
      </c>
      <c r="H199" s="1298"/>
      <c r="I199" s="201"/>
      <c r="J199" s="25"/>
      <c r="K199" s="17"/>
      <c r="L199" s="17"/>
      <c r="M199" s="25"/>
      <c r="O199" s="1292">
        <f t="shared" si="4"/>
        <v>7000000</v>
      </c>
      <c r="P199" s="881"/>
      <c r="Q199" s="456"/>
      <c r="R199" s="20"/>
    </row>
    <row r="200" spans="1:18" s="16" customFormat="1">
      <c r="A200" s="181"/>
      <c r="B200" s="184"/>
      <c r="C200" s="187"/>
      <c r="D200" s="186"/>
      <c r="E200" s="186"/>
      <c r="F200" s="183"/>
      <c r="G200" s="184"/>
      <c r="H200" s="449"/>
      <c r="I200" s="201"/>
      <c r="J200" s="25"/>
      <c r="K200" s="17"/>
      <c r="L200" s="17"/>
      <c r="M200" s="25"/>
      <c r="O200" s="1292">
        <f t="shared" si="4"/>
        <v>0</v>
      </c>
      <c r="P200" s="881"/>
      <c r="Q200" s="456"/>
      <c r="R200" s="20"/>
    </row>
    <row r="201" spans="1:18" s="16" customFormat="1">
      <c r="A201" s="181"/>
      <c r="B201" s="184"/>
      <c r="C201" s="187"/>
      <c r="D201" s="186"/>
      <c r="E201" s="186"/>
      <c r="F201" s="183"/>
      <c r="G201" s="184"/>
      <c r="H201" s="449"/>
      <c r="I201" s="201"/>
      <c r="J201" s="25"/>
      <c r="K201" s="17"/>
      <c r="L201" s="17"/>
      <c r="M201" s="25"/>
      <c r="O201" s="1292"/>
      <c r="P201" s="881"/>
      <c r="Q201" s="456"/>
      <c r="R201" s="20"/>
    </row>
    <row r="202" spans="1:18" s="16" customFormat="1">
      <c r="A202" s="181"/>
      <c r="B202" s="184"/>
      <c r="C202" s="187"/>
      <c r="D202" s="190"/>
      <c r="E202" s="190"/>
      <c r="F202" s="185"/>
      <c r="G202" s="807"/>
      <c r="H202" s="449"/>
      <c r="I202" s="201"/>
      <c r="J202" s="25"/>
      <c r="L202" s="17"/>
      <c r="M202" s="25"/>
      <c r="O202" s="1292">
        <f>IF(F202="Administración General",G202,0)</f>
        <v>0</v>
      </c>
      <c r="P202" s="881"/>
      <c r="Q202" s="456"/>
      <c r="R202" s="20"/>
    </row>
    <row r="203" spans="1:18" s="16" customFormat="1">
      <c r="A203" s="1285" t="s">
        <v>1574</v>
      </c>
      <c r="B203" s="184">
        <f>[12]ESTIMACION!$E$184</f>
        <v>35350000</v>
      </c>
      <c r="C203" s="187"/>
      <c r="D203" s="186"/>
      <c r="E203" s="186"/>
      <c r="F203" s="185"/>
      <c r="G203" s="820">
        <f>SUM(G204:G210)</f>
        <v>35350000</v>
      </c>
      <c r="H203" s="449">
        <f>B203-G203</f>
        <v>0</v>
      </c>
      <c r="I203" s="201"/>
      <c r="J203" s="25"/>
      <c r="K203" s="17"/>
      <c r="L203" s="17"/>
      <c r="M203" s="25"/>
      <c r="O203" s="1292">
        <f>IF(F203="Administración General",G203,0)</f>
        <v>0</v>
      </c>
      <c r="P203" s="881"/>
      <c r="Q203" s="456"/>
      <c r="R203" s="20"/>
    </row>
    <row r="204" spans="1:18" s="16" customFormat="1">
      <c r="A204" s="1285" t="s">
        <v>1575</v>
      </c>
      <c r="B204" s="184"/>
      <c r="C204" s="187" t="s">
        <v>65</v>
      </c>
      <c r="D204" s="190" t="s">
        <v>41</v>
      </c>
      <c r="E204" s="190"/>
      <c r="F204" s="185" t="s">
        <v>294</v>
      </c>
      <c r="G204" s="184">
        <v>3535000</v>
      </c>
      <c r="H204" s="449"/>
      <c r="I204" s="201"/>
      <c r="J204" s="444">
        <f>B203*10%</f>
        <v>3535000</v>
      </c>
      <c r="K204" s="17">
        <f>J204-G204</f>
        <v>0</v>
      </c>
      <c r="L204" s="17"/>
      <c r="M204" s="25"/>
      <c r="N204" s="915"/>
      <c r="O204" s="1292">
        <f>IF(F204="Administración General",G204,0)</f>
        <v>3535000</v>
      </c>
      <c r="P204" s="881"/>
      <c r="Q204" s="456"/>
      <c r="R204" s="20"/>
    </row>
    <row r="205" spans="1:18" s="16" customFormat="1" ht="30">
      <c r="A205" s="1285"/>
      <c r="B205" s="184"/>
      <c r="C205" s="187" t="s">
        <v>56</v>
      </c>
      <c r="D205" s="190" t="s">
        <v>90</v>
      </c>
      <c r="E205" s="190"/>
      <c r="F205" s="183" t="s">
        <v>1594</v>
      </c>
      <c r="G205" s="184">
        <v>3000000</v>
      </c>
      <c r="H205" s="449"/>
      <c r="I205" s="201"/>
      <c r="J205" s="201"/>
      <c r="K205" s="17"/>
      <c r="L205" s="17"/>
      <c r="M205" s="25"/>
      <c r="N205" s="915"/>
      <c r="O205" s="1292">
        <f t="shared" ref="O205:O226" si="5">IF(F205="Administración General",G205,0)</f>
        <v>0</v>
      </c>
      <c r="P205" s="881"/>
      <c r="Q205" s="456"/>
      <c r="R205" s="20"/>
    </row>
    <row r="206" spans="1:18" s="16" customFormat="1" ht="30">
      <c r="A206" s="1285"/>
      <c r="B206" s="184"/>
      <c r="C206" s="187" t="s">
        <v>56</v>
      </c>
      <c r="D206" s="190" t="s">
        <v>1097</v>
      </c>
      <c r="E206" s="190"/>
      <c r="F206" s="183" t="s">
        <v>1595</v>
      </c>
      <c r="G206" s="184">
        <v>7874945</v>
      </c>
      <c r="H206" s="449"/>
      <c r="I206" s="201"/>
      <c r="J206" s="201"/>
      <c r="K206" s="17"/>
      <c r="L206" s="17"/>
      <c r="M206" s="25"/>
      <c r="N206" s="915"/>
      <c r="O206" s="1292">
        <f t="shared" si="5"/>
        <v>0</v>
      </c>
      <c r="P206" s="881"/>
      <c r="Q206" s="456"/>
      <c r="R206" s="20"/>
    </row>
    <row r="207" spans="1:18" s="16" customFormat="1">
      <c r="A207" s="1285"/>
      <c r="B207" s="184"/>
      <c r="C207" s="187" t="s">
        <v>56</v>
      </c>
      <c r="D207" s="186" t="s">
        <v>1128</v>
      </c>
      <c r="E207" s="186"/>
      <c r="F207" s="183" t="s">
        <v>1592</v>
      </c>
      <c r="G207" s="184">
        <f>4791680+2175557</f>
        <v>6967237</v>
      </c>
      <c r="H207" s="449"/>
      <c r="I207" s="201"/>
      <c r="J207" s="201"/>
      <c r="K207" s="17"/>
      <c r="L207" s="17"/>
      <c r="M207" s="25"/>
      <c r="N207" s="915"/>
      <c r="O207" s="1292">
        <f t="shared" si="5"/>
        <v>0</v>
      </c>
      <c r="P207" s="881"/>
      <c r="Q207" s="456"/>
      <c r="R207" s="20"/>
    </row>
    <row r="208" spans="1:18" s="16" customFormat="1">
      <c r="A208" s="1285"/>
      <c r="B208" s="184"/>
      <c r="C208" s="187" t="s">
        <v>56</v>
      </c>
      <c r="D208" s="186" t="s">
        <v>525</v>
      </c>
      <c r="E208" s="186"/>
      <c r="F208" s="183" t="s">
        <v>1639</v>
      </c>
      <c r="G208" s="184">
        <v>5140330</v>
      </c>
      <c r="H208" s="449"/>
      <c r="I208" s="201"/>
      <c r="J208" s="201"/>
      <c r="K208" s="17"/>
      <c r="L208" s="17"/>
      <c r="M208" s="25"/>
      <c r="N208" s="915"/>
      <c r="O208" s="1292">
        <f t="shared" si="5"/>
        <v>0</v>
      </c>
      <c r="P208" s="881"/>
      <c r="Q208" s="456"/>
      <c r="R208" s="20"/>
    </row>
    <row r="209" spans="1:18" s="16" customFormat="1">
      <c r="A209" s="1285"/>
      <c r="B209" s="184"/>
      <c r="C209" s="187" t="s">
        <v>56</v>
      </c>
      <c r="D209" s="186" t="s">
        <v>518</v>
      </c>
      <c r="E209" s="186"/>
      <c r="F209" s="183" t="s">
        <v>1272</v>
      </c>
      <c r="G209" s="184">
        <v>6133889</v>
      </c>
      <c r="H209" s="449"/>
      <c r="I209" s="201"/>
      <c r="J209" s="201"/>
      <c r="K209" s="17"/>
      <c r="L209" s="17"/>
      <c r="M209" s="25">
        <f>33000000+6133889</f>
        <v>39133889</v>
      </c>
      <c r="N209" s="915"/>
      <c r="O209" s="1292">
        <f t="shared" si="5"/>
        <v>0</v>
      </c>
      <c r="P209" s="881"/>
      <c r="Q209" s="456"/>
      <c r="R209" s="20"/>
    </row>
    <row r="210" spans="1:18" s="16" customFormat="1">
      <c r="A210" s="181"/>
      <c r="B210" s="184"/>
      <c r="C210" s="187" t="s">
        <v>56</v>
      </c>
      <c r="D210" s="186" t="s">
        <v>537</v>
      </c>
      <c r="E210" s="186"/>
      <c r="F210" s="183" t="s">
        <v>538</v>
      </c>
      <c r="G210" s="184">
        <v>2698599</v>
      </c>
      <c r="H210" s="449"/>
      <c r="I210" s="201"/>
      <c r="J210" s="25"/>
      <c r="K210" s="17"/>
      <c r="L210" s="17"/>
      <c r="M210" s="25"/>
      <c r="N210" s="915"/>
      <c r="O210" s="1292">
        <f t="shared" si="5"/>
        <v>0</v>
      </c>
      <c r="P210" s="881"/>
      <c r="Q210" s="456"/>
      <c r="R210" s="20"/>
    </row>
    <row r="211" spans="1:18" s="16" customFormat="1">
      <c r="A211" s="181"/>
      <c r="B211" s="184"/>
      <c r="C211" s="187"/>
      <c r="D211" s="186"/>
      <c r="E211" s="186"/>
      <c r="F211" s="183"/>
      <c r="G211" s="184"/>
      <c r="H211" s="449"/>
      <c r="I211" s="201"/>
      <c r="J211" s="25"/>
      <c r="K211" s="17"/>
      <c r="L211" s="17"/>
      <c r="M211" s="25"/>
      <c r="O211" s="1292">
        <f t="shared" si="5"/>
        <v>0</v>
      </c>
      <c r="P211" s="881"/>
      <c r="Q211" s="456"/>
      <c r="R211" s="20"/>
    </row>
    <row r="212" spans="1:18" s="16" customFormat="1">
      <c r="A212" s="181"/>
      <c r="B212" s="184"/>
      <c r="C212" s="187"/>
      <c r="D212" s="186"/>
      <c r="E212" s="186"/>
      <c r="F212" s="183"/>
      <c r="G212" s="184"/>
      <c r="H212" s="449"/>
      <c r="I212" s="201"/>
      <c r="J212" s="25"/>
      <c r="K212" s="17"/>
      <c r="L212" s="17"/>
      <c r="M212" s="25"/>
      <c r="O212" s="1292">
        <f t="shared" si="5"/>
        <v>0</v>
      </c>
      <c r="P212" s="881"/>
      <c r="Q212" s="456"/>
      <c r="R212" s="20"/>
    </row>
    <row r="213" spans="1:18" s="16" customFormat="1">
      <c r="A213" s="1285" t="s">
        <v>239</v>
      </c>
      <c r="B213" s="184">
        <f>[12]ESTIMACION!$E$192</f>
        <v>39456990</v>
      </c>
      <c r="C213" s="187"/>
      <c r="D213" s="186"/>
      <c r="E213" s="186"/>
      <c r="F213" s="183"/>
      <c r="G213" s="820">
        <f>SUM(G214:G216)</f>
        <v>39456990</v>
      </c>
      <c r="H213" s="449">
        <f>B213-G213</f>
        <v>0</v>
      </c>
      <c r="I213" s="201"/>
      <c r="J213" s="25"/>
      <c r="K213" s="17"/>
      <c r="L213" s="17"/>
      <c r="M213" s="25"/>
      <c r="O213" s="1292">
        <f t="shared" si="5"/>
        <v>0</v>
      </c>
      <c r="P213" s="881"/>
      <c r="Q213" s="456"/>
      <c r="R213" s="20"/>
    </row>
    <row r="214" spans="1:18" s="16" customFormat="1" ht="30">
      <c r="A214" s="1285" t="s">
        <v>1576</v>
      </c>
      <c r="B214" s="184"/>
      <c r="C214" s="187" t="s">
        <v>1120</v>
      </c>
      <c r="D214" s="190" t="s">
        <v>77</v>
      </c>
      <c r="E214" s="190"/>
      <c r="F214" s="185" t="s">
        <v>294</v>
      </c>
      <c r="G214" s="184">
        <f>B213</f>
        <v>39456990</v>
      </c>
      <c r="H214" s="1298"/>
      <c r="I214" s="201"/>
      <c r="J214" s="17"/>
      <c r="K214" s="17"/>
      <c r="L214" s="17"/>
      <c r="M214" s="25"/>
      <c r="O214" s="1292">
        <f t="shared" si="5"/>
        <v>39456990</v>
      </c>
      <c r="P214" s="881"/>
      <c r="Q214" s="456"/>
      <c r="R214" s="20"/>
    </row>
    <row r="215" spans="1:18" s="16" customFormat="1">
      <c r="A215" s="1285"/>
      <c r="B215" s="184"/>
      <c r="C215" s="187"/>
      <c r="D215" s="190"/>
      <c r="E215" s="190"/>
      <c r="F215" s="185"/>
      <c r="G215" s="184"/>
      <c r="H215" s="1298"/>
      <c r="I215" s="201"/>
      <c r="J215" s="17"/>
      <c r="K215" s="17"/>
      <c r="L215" s="17"/>
      <c r="M215" s="25"/>
      <c r="O215" s="1292">
        <f t="shared" si="5"/>
        <v>0</v>
      </c>
      <c r="P215" s="881"/>
      <c r="Q215" s="456"/>
      <c r="R215" s="20"/>
    </row>
    <row r="216" spans="1:18" s="16" customFormat="1">
      <c r="A216" s="181"/>
      <c r="B216" s="184"/>
      <c r="C216" s="187"/>
      <c r="D216" s="186"/>
      <c r="E216" s="186"/>
      <c r="F216" s="183"/>
      <c r="G216" s="184"/>
      <c r="H216" s="449"/>
      <c r="I216" s="201"/>
      <c r="J216" s="25"/>
      <c r="K216" s="17"/>
      <c r="L216" s="17"/>
      <c r="M216" s="25"/>
      <c r="O216" s="1292">
        <f t="shared" si="5"/>
        <v>0</v>
      </c>
      <c r="P216" s="881"/>
      <c r="Q216" s="456"/>
      <c r="R216" s="20"/>
    </row>
    <row r="217" spans="1:18" s="16" customFormat="1">
      <c r="A217" s="181"/>
      <c r="B217" s="184"/>
      <c r="C217" s="187"/>
      <c r="D217" s="190"/>
      <c r="E217" s="190"/>
      <c r="F217" s="183"/>
      <c r="G217" s="807"/>
      <c r="H217" s="449"/>
      <c r="I217" s="201"/>
      <c r="J217" s="25"/>
      <c r="L217" s="17"/>
      <c r="M217" s="25"/>
      <c r="O217" s="1292">
        <f t="shared" si="5"/>
        <v>0</v>
      </c>
      <c r="P217" s="881"/>
      <c r="Q217" s="456"/>
      <c r="R217" s="20"/>
    </row>
    <row r="218" spans="1:18" s="16" customFormat="1">
      <c r="A218" s="1285" t="s">
        <v>241</v>
      </c>
      <c r="B218" s="184">
        <f>[12]ESTIMACION!$E$193</f>
        <v>18000000</v>
      </c>
      <c r="C218" s="187"/>
      <c r="D218" s="186"/>
      <c r="E218" s="186"/>
      <c r="F218" s="183"/>
      <c r="G218" s="820">
        <f>SUM(G219:G224)</f>
        <v>18000000</v>
      </c>
      <c r="H218" s="449">
        <f>B218-G218</f>
        <v>0</v>
      </c>
      <c r="I218" s="201"/>
      <c r="J218" s="25"/>
      <c r="K218" s="17"/>
      <c r="L218" s="17"/>
      <c r="M218" s="25"/>
      <c r="O218" s="1292">
        <f t="shared" si="5"/>
        <v>0</v>
      </c>
      <c r="P218" s="881"/>
      <c r="Q218" s="456"/>
      <c r="R218" s="20"/>
    </row>
    <row r="219" spans="1:18" s="16" customFormat="1" ht="45">
      <c r="A219" s="1285" t="s">
        <v>242</v>
      </c>
      <c r="B219" s="184"/>
      <c r="C219" s="187" t="s">
        <v>65</v>
      </c>
      <c r="D219" s="190" t="s">
        <v>41</v>
      </c>
      <c r="E219" s="190"/>
      <c r="F219" s="183" t="s">
        <v>294</v>
      </c>
      <c r="G219" s="184">
        <v>1800000</v>
      </c>
      <c r="H219" s="449"/>
      <c r="I219" s="201"/>
      <c r="J219" s="444">
        <f>B218*10%</f>
        <v>1800000</v>
      </c>
      <c r="K219" s="17">
        <f>J219-G219</f>
        <v>0</v>
      </c>
      <c r="L219" s="17"/>
      <c r="M219" s="25"/>
      <c r="O219" s="1292">
        <f t="shared" si="5"/>
        <v>1800000</v>
      </c>
      <c r="P219" s="881"/>
      <c r="Q219" s="456"/>
      <c r="R219" s="20"/>
    </row>
    <row r="220" spans="1:18" s="16" customFormat="1" ht="30">
      <c r="A220" s="1285"/>
      <c r="B220" s="184"/>
      <c r="C220" s="187" t="s">
        <v>56</v>
      </c>
      <c r="D220" s="190" t="s">
        <v>90</v>
      </c>
      <c r="E220" s="190"/>
      <c r="F220" s="183" t="s">
        <v>1596</v>
      </c>
      <c r="G220" s="184">
        <v>2273628</v>
      </c>
      <c r="H220" s="449"/>
      <c r="I220" s="201"/>
      <c r="J220" s="201"/>
      <c r="K220" s="17"/>
      <c r="L220" s="17"/>
      <c r="M220" s="25">
        <f>18000000+2273628</f>
        <v>20273628</v>
      </c>
      <c r="O220" s="1292">
        <f t="shared" si="5"/>
        <v>0</v>
      </c>
      <c r="P220" s="881"/>
      <c r="Q220" s="456"/>
      <c r="R220" s="20"/>
    </row>
    <row r="221" spans="1:18" s="16" customFormat="1" ht="30">
      <c r="A221" s="1285"/>
      <c r="B221" s="184"/>
      <c r="C221" s="187" t="s">
        <v>56</v>
      </c>
      <c r="D221" s="190" t="s">
        <v>1097</v>
      </c>
      <c r="E221" s="190"/>
      <c r="F221" s="183" t="s">
        <v>1597</v>
      </c>
      <c r="G221" s="184">
        <v>6222813</v>
      </c>
      <c r="H221" s="449"/>
      <c r="I221" s="201"/>
      <c r="J221" s="201"/>
      <c r="K221" s="17"/>
      <c r="L221" s="17"/>
      <c r="M221" s="25"/>
      <c r="O221" s="1292">
        <f t="shared" si="5"/>
        <v>0</v>
      </c>
      <c r="P221" s="881"/>
      <c r="Q221" s="456"/>
      <c r="R221" s="20"/>
    </row>
    <row r="222" spans="1:18" s="16" customFormat="1">
      <c r="A222" s="1285"/>
      <c r="B222" s="184"/>
      <c r="C222" s="187" t="s">
        <v>56</v>
      </c>
      <c r="D222" s="190" t="s">
        <v>1128</v>
      </c>
      <c r="E222" s="190"/>
      <c r="F222" s="183" t="s">
        <v>1592</v>
      </c>
      <c r="G222" s="184">
        <f>6943423+760136</f>
        <v>7703559</v>
      </c>
      <c r="H222" s="449"/>
      <c r="I222" s="201"/>
      <c r="J222" s="201"/>
      <c r="K222" s="17"/>
      <c r="L222" s="17"/>
      <c r="M222" s="25"/>
      <c r="O222" s="1292">
        <f t="shared" si="5"/>
        <v>0</v>
      </c>
      <c r="P222" s="881"/>
      <c r="Q222" s="456"/>
      <c r="R222" s="20"/>
    </row>
    <row r="223" spans="1:18" s="16" customFormat="1">
      <c r="A223" s="1285"/>
      <c r="B223" s="184"/>
      <c r="C223" s="187"/>
      <c r="D223" s="190"/>
      <c r="E223" s="190"/>
      <c r="F223" s="183"/>
      <c r="G223" s="184"/>
      <c r="H223" s="449"/>
      <c r="I223" s="201"/>
      <c r="J223" s="201"/>
      <c r="K223" s="17"/>
      <c r="L223" s="17"/>
      <c r="M223" s="25"/>
      <c r="O223" s="1292">
        <f t="shared" si="5"/>
        <v>0</v>
      </c>
      <c r="P223" s="881"/>
      <c r="Q223" s="456"/>
      <c r="R223" s="20"/>
    </row>
    <row r="224" spans="1:18" s="16" customFormat="1">
      <c r="A224" s="181"/>
      <c r="B224" s="184"/>
      <c r="C224" s="187"/>
      <c r="D224" s="186"/>
      <c r="E224" s="186"/>
      <c r="F224" s="183"/>
      <c r="G224" s="184"/>
      <c r="H224" s="449"/>
      <c r="I224" s="201"/>
      <c r="J224" s="25"/>
      <c r="K224" s="17"/>
      <c r="L224" s="17"/>
      <c r="M224" s="25"/>
      <c r="O224" s="1292">
        <f t="shared" si="5"/>
        <v>0</v>
      </c>
      <c r="P224" s="881"/>
      <c r="Q224" s="456"/>
      <c r="R224" s="20"/>
    </row>
    <row r="225" spans="1:18" s="16" customFormat="1">
      <c r="A225" s="181"/>
      <c r="B225" s="184"/>
      <c r="C225" s="187"/>
      <c r="D225" s="186"/>
      <c r="E225" s="186"/>
      <c r="F225" s="183"/>
      <c r="G225" s="184"/>
      <c r="H225" s="449"/>
      <c r="I225" s="201"/>
      <c r="J225" s="25"/>
      <c r="K225" s="17"/>
      <c r="L225" s="17"/>
      <c r="M225" s="25"/>
      <c r="O225" s="1292">
        <f t="shared" si="5"/>
        <v>0</v>
      </c>
      <c r="P225" s="881"/>
      <c r="Q225" s="456"/>
      <c r="R225" s="20"/>
    </row>
    <row r="226" spans="1:18" s="16" customFormat="1">
      <c r="A226" s="1285" t="s">
        <v>1577</v>
      </c>
      <c r="B226" s="184">
        <f>[12]ESTIMACION!$E$199</f>
        <v>150000</v>
      </c>
      <c r="C226" s="187"/>
      <c r="D226" s="186"/>
      <c r="E226" s="186"/>
      <c r="F226" s="183"/>
      <c r="G226" s="820">
        <f>SUM(G227:G229)</f>
        <v>150000</v>
      </c>
      <c r="H226" s="449">
        <f>B226-G226</f>
        <v>0</v>
      </c>
      <c r="I226" s="201"/>
      <c r="J226" s="25"/>
      <c r="K226" s="17"/>
      <c r="L226" s="17"/>
      <c r="M226" s="25"/>
      <c r="O226" s="1292">
        <f t="shared" si="5"/>
        <v>0</v>
      </c>
      <c r="P226" s="881"/>
      <c r="Q226" s="456"/>
      <c r="R226" s="20"/>
    </row>
    <row r="227" spans="1:18" s="16" customFormat="1" ht="30">
      <c r="A227" s="1285" t="s">
        <v>1578</v>
      </c>
      <c r="B227" s="184"/>
      <c r="C227" s="187" t="s">
        <v>1120</v>
      </c>
      <c r="D227" s="190" t="s">
        <v>77</v>
      </c>
      <c r="E227" s="190"/>
      <c r="F227" s="183" t="s">
        <v>294</v>
      </c>
      <c r="G227" s="184">
        <f>B226</f>
        <v>150000</v>
      </c>
      <c r="H227" s="1298"/>
      <c r="I227" s="201"/>
      <c r="J227" s="25"/>
      <c r="K227" s="17"/>
      <c r="L227" s="17"/>
      <c r="M227" s="25"/>
      <c r="O227" s="1292">
        <f>IF(F227="Administración General",G227,0)</f>
        <v>150000</v>
      </c>
      <c r="P227" s="881"/>
      <c r="Q227" s="456"/>
      <c r="R227" s="20"/>
    </row>
    <row r="228" spans="1:18" s="16" customFormat="1">
      <c r="A228" s="1285"/>
      <c r="B228" s="184"/>
      <c r="C228" s="187"/>
      <c r="D228" s="190"/>
      <c r="E228" s="190"/>
      <c r="F228" s="183"/>
      <c r="G228" s="184"/>
      <c r="H228" s="449"/>
      <c r="I228" s="201"/>
      <c r="J228" s="25"/>
      <c r="K228" s="17"/>
      <c r="L228" s="17"/>
      <c r="M228" s="25"/>
      <c r="O228" s="1292"/>
      <c r="P228" s="881"/>
      <c r="Q228" s="456"/>
      <c r="R228" s="20"/>
    </row>
    <row r="229" spans="1:18" s="16" customFormat="1">
      <c r="A229" s="181"/>
      <c r="B229" s="184"/>
      <c r="C229" s="187"/>
      <c r="D229" s="186"/>
      <c r="E229" s="186"/>
      <c r="F229" s="183"/>
      <c r="G229" s="184"/>
      <c r="H229" s="449"/>
      <c r="I229" s="201"/>
      <c r="J229" s="25"/>
      <c r="K229" s="17"/>
      <c r="L229" s="17"/>
      <c r="M229" s="25"/>
      <c r="O229" s="1292">
        <f>IF(F229="Administración General",G229,0)</f>
        <v>0</v>
      </c>
      <c r="P229" s="881"/>
      <c r="Q229" s="456"/>
      <c r="R229" s="20"/>
    </row>
    <row r="230" spans="1:18" s="16" customFormat="1">
      <c r="A230" s="181"/>
      <c r="B230" s="184"/>
      <c r="C230" s="187"/>
      <c r="D230" s="186"/>
      <c r="E230" s="186"/>
      <c r="F230" s="183"/>
      <c r="G230" s="184"/>
      <c r="H230" s="449"/>
      <c r="I230" s="201"/>
      <c r="J230" s="25"/>
      <c r="K230" s="17"/>
      <c r="L230" s="17"/>
      <c r="M230" s="25"/>
      <c r="O230" s="1292"/>
      <c r="P230" s="881"/>
      <c r="Q230" s="456"/>
      <c r="R230" s="20"/>
    </row>
    <row r="231" spans="1:18" s="16" customFormat="1">
      <c r="A231" s="181" t="s">
        <v>1345</v>
      </c>
      <c r="B231" s="184">
        <f>[12]ESTIMACION!$E$211</f>
        <v>24896500</v>
      </c>
      <c r="C231" s="187"/>
      <c r="D231" s="186"/>
      <c r="E231" s="186"/>
      <c r="F231" s="183"/>
      <c r="G231" s="820">
        <f>SUM(G232:G233)</f>
        <v>89300000</v>
      </c>
      <c r="H231" s="449">
        <f>B231-G231</f>
        <v>-64403500</v>
      </c>
      <c r="I231" s="201"/>
      <c r="J231" s="25"/>
      <c r="K231" s="17"/>
      <c r="L231" s="17"/>
      <c r="M231" s="25"/>
      <c r="O231" s="1292">
        <f>IF(F231="Administración General",G231,0)</f>
        <v>0</v>
      </c>
      <c r="P231" s="881"/>
      <c r="Q231" s="456"/>
      <c r="R231" s="20"/>
    </row>
    <row r="232" spans="1:18" s="16" customFormat="1" ht="30">
      <c r="A232" s="181" t="str">
        <f>[12]ESTIMACION!$D$211</f>
        <v>Aporte fondos Consejo Seguridad Vial</v>
      </c>
      <c r="B232" s="184"/>
      <c r="C232" s="188" t="s">
        <v>56</v>
      </c>
      <c r="D232" s="189" t="s">
        <v>525</v>
      </c>
      <c r="E232" s="189"/>
      <c r="F232" s="1010" t="s">
        <v>1343</v>
      </c>
      <c r="G232" s="827">
        <v>89300000</v>
      </c>
      <c r="H232" s="449"/>
      <c r="I232" s="201"/>
      <c r="J232" s="795">
        <f>[1]GASTOS!$AV$339</f>
        <v>24896500</v>
      </c>
      <c r="K232" s="17">
        <f>J232-G232</f>
        <v>-64403500</v>
      </c>
      <c r="L232" s="17"/>
      <c r="M232" s="25"/>
      <c r="O232" s="1292">
        <f>IF(F232="Administración General",G232,0)</f>
        <v>0</v>
      </c>
      <c r="P232" s="881"/>
      <c r="Q232" s="456"/>
      <c r="R232" s="20"/>
    </row>
    <row r="233" spans="1:18" s="47" customFormat="1">
      <c r="A233" s="89"/>
      <c r="B233" s="184"/>
      <c r="C233" s="187"/>
      <c r="D233" s="190"/>
      <c r="E233" s="190"/>
      <c r="F233" s="183"/>
      <c r="G233" s="807"/>
      <c r="H233" s="966"/>
      <c r="I233" s="967"/>
      <c r="J233" s="968"/>
      <c r="K233" s="18"/>
      <c r="L233" s="18"/>
      <c r="M233" s="968"/>
      <c r="O233" s="1292">
        <f>IF(F233="Administración General",G233,0)</f>
        <v>0</v>
      </c>
      <c r="P233" s="969"/>
      <c r="Q233" s="1001"/>
      <c r="R233" s="1002"/>
    </row>
    <row r="234" spans="1:18" s="16" customFormat="1">
      <c r="A234" s="181"/>
      <c r="B234" s="184"/>
      <c r="C234" s="187"/>
      <c r="D234" s="190"/>
      <c r="E234" s="190"/>
      <c r="F234" s="183"/>
      <c r="G234" s="807"/>
      <c r="H234" s="449"/>
      <c r="I234" s="201"/>
      <c r="J234" s="25"/>
      <c r="K234" s="17"/>
      <c r="L234" s="17"/>
      <c r="M234" s="25"/>
      <c r="O234" s="1292">
        <f>IF(F234="Administración General",G234,0)</f>
        <v>0</v>
      </c>
      <c r="P234" s="881"/>
      <c r="Q234" s="456"/>
      <c r="R234" s="20"/>
    </row>
    <row r="235" spans="1:18" s="16" customFormat="1">
      <c r="A235" s="181" t="s">
        <v>1346</v>
      </c>
      <c r="B235" s="184">
        <f>[12]ESTIMACION!$E$212</f>
        <v>2866659</v>
      </c>
      <c r="C235" s="187"/>
      <c r="D235" s="186"/>
      <c r="E235" s="186"/>
      <c r="F235" s="183"/>
      <c r="G235" s="820">
        <f>SUM(G236:G237)</f>
        <v>2866659</v>
      </c>
      <c r="H235" s="449">
        <f>B235-G235</f>
        <v>0</v>
      </c>
      <c r="I235" s="201"/>
      <c r="J235" s="25"/>
      <c r="K235" s="17"/>
      <c r="L235" s="17"/>
      <c r="M235" s="25"/>
      <c r="O235" s="1292">
        <f>IF(F235="Administración General",G235,0)</f>
        <v>0</v>
      </c>
      <c r="P235" s="881"/>
      <c r="Q235" s="456"/>
      <c r="R235" s="20"/>
    </row>
    <row r="236" spans="1:18" s="16" customFormat="1" ht="30" customHeight="1">
      <c r="A236" s="1370" t="str">
        <f>[12]ESTIMACION!$D$212</f>
        <v>Aporte Fondos Consejo Nacional de la Política Pública de la Persona Joven</v>
      </c>
      <c r="B236" s="184"/>
      <c r="C236" s="187" t="s">
        <v>56</v>
      </c>
      <c r="D236" s="190" t="s">
        <v>1097</v>
      </c>
      <c r="E236" s="190"/>
      <c r="F236" s="183" t="s">
        <v>1098</v>
      </c>
      <c r="G236" s="184">
        <v>2866659</v>
      </c>
      <c r="H236" s="449"/>
      <c r="I236" s="201"/>
      <c r="J236" s="25"/>
      <c r="K236" s="17"/>
      <c r="L236" s="17"/>
      <c r="M236" s="25"/>
      <c r="O236" s="1292">
        <f t="shared" ref="O236:O297" si="6">IF(F236="Administración General",G236,0)</f>
        <v>0</v>
      </c>
      <c r="P236" s="881"/>
      <c r="Q236" s="456"/>
      <c r="R236" s="20"/>
    </row>
    <row r="237" spans="1:18" s="16" customFormat="1">
      <c r="A237" s="1370"/>
      <c r="B237" s="184"/>
      <c r="C237" s="188"/>
      <c r="D237" s="189"/>
      <c r="E237" s="189"/>
      <c r="F237" s="183"/>
      <c r="G237" s="807"/>
      <c r="H237" s="449"/>
      <c r="I237" s="201"/>
      <c r="J237" s="25"/>
      <c r="K237" s="17"/>
      <c r="L237" s="17"/>
      <c r="M237" s="25"/>
      <c r="O237" s="1292">
        <f t="shared" si="6"/>
        <v>0</v>
      </c>
      <c r="P237" s="881"/>
      <c r="Q237" s="456"/>
      <c r="R237" s="20"/>
    </row>
    <row r="238" spans="1:18" s="16" customFormat="1">
      <c r="A238" s="181"/>
      <c r="B238" s="184"/>
      <c r="C238" s="187"/>
      <c r="D238" s="190"/>
      <c r="E238" s="190"/>
      <c r="F238" s="185"/>
      <c r="G238" s="807"/>
      <c r="H238" s="449"/>
      <c r="I238" s="201"/>
      <c r="J238" s="25"/>
      <c r="K238" s="17"/>
      <c r="L238" s="17"/>
      <c r="M238" s="25"/>
      <c r="O238" s="1292">
        <f t="shared" si="6"/>
        <v>0</v>
      </c>
      <c r="P238" s="881"/>
      <c r="Q238" s="456"/>
      <c r="R238" s="20"/>
    </row>
    <row r="239" spans="1:18" s="16" customFormat="1">
      <c r="A239" s="181"/>
      <c r="B239" s="184"/>
      <c r="C239" s="187"/>
      <c r="D239" s="190"/>
      <c r="E239" s="190"/>
      <c r="F239" s="185"/>
      <c r="G239" s="807"/>
      <c r="H239" s="449"/>
      <c r="I239" s="201"/>
      <c r="J239" s="25"/>
      <c r="K239" s="17"/>
      <c r="L239" s="17"/>
      <c r="M239" s="25"/>
      <c r="O239" s="1292">
        <f t="shared" si="6"/>
        <v>0</v>
      </c>
      <c r="P239" s="881"/>
      <c r="Q239" s="456"/>
      <c r="R239" s="20"/>
    </row>
    <row r="240" spans="1:18" s="16" customFormat="1">
      <c r="A240" s="1289" t="s">
        <v>248</v>
      </c>
      <c r="B240" s="983">
        <f>[12]ESTIMACION!$E$216</f>
        <v>24307401</v>
      </c>
      <c r="C240" s="1034"/>
      <c r="D240" s="190"/>
      <c r="E240" s="190"/>
      <c r="F240" s="313"/>
      <c r="G240" s="1290">
        <f>SUM(G241:G244)</f>
        <v>24307401</v>
      </c>
      <c r="H240" s="449">
        <f>B240-G240</f>
        <v>0</v>
      </c>
      <c r="I240" s="201"/>
      <c r="J240" s="25"/>
      <c r="K240" s="17"/>
      <c r="L240" s="17"/>
      <c r="M240" s="25"/>
      <c r="O240" s="1292">
        <f t="shared" si="6"/>
        <v>0</v>
      </c>
      <c r="P240" s="881"/>
      <c r="Q240" s="456"/>
      <c r="R240" s="20"/>
    </row>
    <row r="241" spans="1:18" s="16" customFormat="1" ht="18" customHeight="1">
      <c r="A241" s="1375" t="str">
        <f>[12]ESTIMACION!$D$216</f>
        <v>Aporte IFAM licores nacionales y extranjeros</v>
      </c>
      <c r="B241" s="983"/>
      <c r="C241" s="1034" t="s">
        <v>65</v>
      </c>
      <c r="D241" s="190" t="s">
        <v>41</v>
      </c>
      <c r="E241" s="190"/>
      <c r="F241" s="313" t="s">
        <v>294</v>
      </c>
      <c r="G241" s="983">
        <v>12032163.5</v>
      </c>
      <c r="H241" s="449"/>
      <c r="I241" s="201"/>
      <c r="J241" s="444">
        <f>B240*49.5%</f>
        <v>12032163.494999999</v>
      </c>
      <c r="K241" s="17">
        <f>J241-G241</f>
        <v>-5.0000008195638657E-3</v>
      </c>
      <c r="L241" s="17"/>
      <c r="M241" s="25"/>
      <c r="O241" s="1292">
        <f t="shared" si="6"/>
        <v>12032163.5</v>
      </c>
      <c r="P241" s="881"/>
      <c r="Q241" s="456"/>
      <c r="R241" s="20"/>
    </row>
    <row r="242" spans="1:18" s="16" customFormat="1" ht="18" customHeight="1">
      <c r="A242" s="1375"/>
      <c r="B242" s="983"/>
      <c r="C242" s="1034" t="s">
        <v>56</v>
      </c>
      <c r="D242" s="190" t="s">
        <v>537</v>
      </c>
      <c r="E242" s="190"/>
      <c r="F242" s="313" t="s">
        <v>538</v>
      </c>
      <c r="G242" s="983">
        <v>1582760.5</v>
      </c>
      <c r="H242" s="449"/>
      <c r="I242" s="201"/>
      <c r="J242" s="17"/>
      <c r="K242" s="17"/>
      <c r="L242" s="17"/>
      <c r="M242" s="25">
        <f>718640.5+2698599+1582760.5</f>
        <v>5000000</v>
      </c>
      <c r="O242" s="1292"/>
      <c r="P242" s="881"/>
      <c r="Q242" s="456"/>
      <c r="R242" s="20"/>
    </row>
    <row r="243" spans="1:18" s="16" customFormat="1">
      <c r="A243" s="1375"/>
      <c r="B243" s="983"/>
      <c r="C243" s="1291" t="s">
        <v>66</v>
      </c>
      <c r="D243" s="189" t="s">
        <v>85</v>
      </c>
      <c r="E243" s="189" t="s">
        <v>79</v>
      </c>
      <c r="F243" s="1035" t="s">
        <v>1342</v>
      </c>
      <c r="G243" s="983">
        <f>50000000-39307523</f>
        <v>10692477</v>
      </c>
      <c r="H243" s="449"/>
      <c r="I243" s="201"/>
      <c r="J243" s="201"/>
      <c r="K243" s="201"/>
      <c r="L243" s="17"/>
      <c r="M243" s="25"/>
      <c r="O243" s="1292">
        <f t="shared" si="6"/>
        <v>0</v>
      </c>
      <c r="P243" s="881"/>
      <c r="Q243" s="456"/>
      <c r="R243" s="20"/>
    </row>
    <row r="244" spans="1:18" s="16" customFormat="1">
      <c r="A244" s="285"/>
      <c r="B244" s="184"/>
      <c r="C244" s="188"/>
      <c r="D244" s="189"/>
      <c r="E244" s="189"/>
      <c r="F244" s="183"/>
      <c r="G244" s="807"/>
      <c r="H244" s="449"/>
      <c r="I244" s="201"/>
      <c r="J244" s="25"/>
      <c r="K244" s="17"/>
      <c r="L244" s="17"/>
      <c r="M244" s="25"/>
      <c r="O244" s="1292">
        <f t="shared" si="6"/>
        <v>0</v>
      </c>
      <c r="P244" s="881"/>
      <c r="Q244" s="456"/>
      <c r="R244" s="20"/>
    </row>
    <row r="245" spans="1:18" s="47" customFormat="1">
      <c r="A245" s="285"/>
      <c r="B245" s="184"/>
      <c r="C245" s="188"/>
      <c r="D245" s="189"/>
      <c r="E245" s="189"/>
      <c r="F245" s="183"/>
      <c r="G245" s="807"/>
      <c r="H245" s="966"/>
      <c r="I245" s="967"/>
      <c r="J245" s="968"/>
      <c r="K245" s="18"/>
      <c r="L245" s="18"/>
      <c r="M245" s="968"/>
      <c r="O245" s="1292">
        <f t="shared" si="6"/>
        <v>0</v>
      </c>
      <c r="P245" s="969"/>
      <c r="Q245" s="1001"/>
      <c r="R245" s="1002"/>
    </row>
    <row r="246" spans="1:18" s="16" customFormat="1" hidden="1">
      <c r="A246" s="1019" t="s">
        <v>297</v>
      </c>
      <c r="B246" s="1011">
        <f>[12]ESTIMACION!$E$246</f>
        <v>0</v>
      </c>
      <c r="C246" s="1012"/>
      <c r="D246" s="1013"/>
      <c r="E246" s="1013"/>
      <c r="F246" s="1014"/>
      <c r="G246" s="1015">
        <f>SUM(G247:G250)</f>
        <v>0</v>
      </c>
      <c r="H246" s="449">
        <f>B246-G246</f>
        <v>0</v>
      </c>
      <c r="I246" s="201"/>
      <c r="J246" s="25"/>
      <c r="K246" s="17"/>
      <c r="L246" s="17"/>
      <c r="M246" s="25"/>
      <c r="O246" s="1292">
        <f t="shared" si="6"/>
        <v>0</v>
      </c>
      <c r="P246" s="881"/>
      <c r="Q246" s="456"/>
      <c r="R246" s="20"/>
    </row>
    <row r="247" spans="1:18" s="16" customFormat="1" ht="30" hidden="1" customHeight="1">
      <c r="A247" s="1300" t="s">
        <v>1600</v>
      </c>
      <c r="B247" s="1011"/>
      <c r="C247" s="1012" t="s">
        <v>65</v>
      </c>
      <c r="D247" s="1013" t="s">
        <v>41</v>
      </c>
      <c r="E247" s="1013"/>
      <c r="F247" s="1014" t="s">
        <v>294</v>
      </c>
      <c r="G247" s="1011"/>
      <c r="H247" s="449"/>
      <c r="I247" s="201"/>
      <c r="J247" s="444">
        <f>B246*49.5%</f>
        <v>0</v>
      </c>
      <c r="K247" s="17">
        <f>J247-G247</f>
        <v>0</v>
      </c>
      <c r="L247" s="17"/>
      <c r="M247" s="25"/>
      <c r="O247" s="1292">
        <f t="shared" si="6"/>
        <v>0</v>
      </c>
      <c r="P247" s="881"/>
      <c r="Q247" s="456"/>
      <c r="R247" s="20"/>
    </row>
    <row r="248" spans="1:18" s="16" customFormat="1" ht="30" hidden="1">
      <c r="A248" s="1300"/>
      <c r="B248" s="1011"/>
      <c r="C248" s="1016" t="s">
        <v>56</v>
      </c>
      <c r="D248" s="1017" t="s">
        <v>46</v>
      </c>
      <c r="E248" s="1017"/>
      <c r="F248" s="1018" t="s">
        <v>1262</v>
      </c>
      <c r="G248" s="1011"/>
      <c r="H248" s="449"/>
      <c r="I248" s="201"/>
      <c r="J248" s="444">
        <f>B246*50.5%</f>
        <v>0</v>
      </c>
      <c r="K248" s="17">
        <f>J248-G248</f>
        <v>0</v>
      </c>
      <c r="L248" s="17"/>
      <c r="M248" s="25"/>
      <c r="O248" s="1292">
        <f t="shared" si="6"/>
        <v>0</v>
      </c>
      <c r="P248" s="881"/>
      <c r="Q248" s="456"/>
      <c r="R248" s="20"/>
    </row>
    <row r="249" spans="1:18" s="16" customFormat="1" hidden="1">
      <c r="A249" s="1300"/>
      <c r="B249" s="1011"/>
      <c r="C249" s="1016" t="s">
        <v>66</v>
      </c>
      <c r="D249" s="1017" t="s">
        <v>47</v>
      </c>
      <c r="E249" s="1017" t="s">
        <v>44</v>
      </c>
      <c r="F249" s="1018" t="s">
        <v>1344</v>
      </c>
      <c r="G249" s="1011"/>
      <c r="H249" s="449"/>
      <c r="I249" s="201"/>
      <c r="J249" s="201"/>
      <c r="K249" s="201"/>
      <c r="L249" s="17"/>
      <c r="M249" s="25"/>
      <c r="O249" s="1292">
        <f t="shared" si="6"/>
        <v>0</v>
      </c>
      <c r="P249" s="881"/>
      <c r="Q249" s="456"/>
      <c r="R249" s="20"/>
    </row>
    <row r="250" spans="1:18" s="16" customFormat="1" hidden="1">
      <c r="A250" s="89"/>
      <c r="B250" s="184"/>
      <c r="C250" s="188"/>
      <c r="D250" s="189"/>
      <c r="E250" s="189"/>
      <c r="F250" s="183"/>
      <c r="G250" s="807"/>
      <c r="H250" s="449"/>
      <c r="I250" s="201"/>
      <c r="J250" s="25"/>
      <c r="K250" s="17"/>
      <c r="L250" s="17"/>
      <c r="M250" s="25"/>
      <c r="O250" s="1292">
        <f t="shared" si="6"/>
        <v>0</v>
      </c>
      <c r="P250" s="881"/>
      <c r="Q250" s="456"/>
      <c r="R250" s="20"/>
    </row>
    <row r="251" spans="1:18" s="16" customFormat="1" hidden="1">
      <c r="A251" s="89"/>
      <c r="B251" s="184"/>
      <c r="C251" s="188"/>
      <c r="D251" s="189"/>
      <c r="E251" s="189"/>
      <c r="F251" s="183"/>
      <c r="G251" s="807"/>
      <c r="H251" s="449"/>
      <c r="I251" s="201"/>
      <c r="J251" s="25"/>
      <c r="K251" s="17"/>
      <c r="L251" s="17"/>
      <c r="M251" s="25"/>
      <c r="O251" s="1292">
        <f t="shared" si="6"/>
        <v>0</v>
      </c>
      <c r="P251" s="881"/>
      <c r="Q251" s="456"/>
      <c r="R251" s="20"/>
    </row>
    <row r="252" spans="1:18" s="16" customFormat="1">
      <c r="A252" s="181"/>
      <c r="B252" s="184"/>
      <c r="C252" s="187"/>
      <c r="D252" s="186"/>
      <c r="E252" s="186"/>
      <c r="F252" s="185"/>
      <c r="G252" s="807"/>
      <c r="H252" s="449"/>
      <c r="I252" s="201"/>
      <c r="J252" s="25"/>
      <c r="K252" s="17"/>
      <c r="L252" s="17"/>
      <c r="M252" s="25"/>
      <c r="O252" s="1292">
        <f t="shared" si="6"/>
        <v>0</v>
      </c>
      <c r="P252" s="881"/>
      <c r="Q252" s="456"/>
      <c r="R252" s="20"/>
    </row>
    <row r="253" spans="1:18" s="16" customFormat="1">
      <c r="A253" s="181" t="s">
        <v>310</v>
      </c>
      <c r="B253" s="184">
        <f>[12]ESTIMACION!$E$259</f>
        <v>3776950</v>
      </c>
      <c r="C253" s="187"/>
      <c r="D253" s="186"/>
      <c r="E253" s="186"/>
      <c r="F253" s="185"/>
      <c r="G253" s="820">
        <f>SUM(G254:G255)</f>
        <v>3776950</v>
      </c>
      <c r="H253" s="449">
        <f>B253-G253</f>
        <v>0</v>
      </c>
      <c r="I253" s="201"/>
      <c r="J253" s="25"/>
      <c r="K253" s="17"/>
      <c r="L253" s="17"/>
      <c r="M253" s="25"/>
      <c r="O253" s="1292">
        <f t="shared" si="6"/>
        <v>0</v>
      </c>
      <c r="P253" s="881"/>
      <c r="Q253" s="456"/>
      <c r="R253" s="20"/>
    </row>
    <row r="254" spans="1:18" s="16" customFormat="1" ht="30">
      <c r="A254" s="1372" t="str">
        <f>[12]ESTIMACION!$D$259</f>
        <v>Aporte IFAM para programas de mantenimiento y conservación calles urbanas y caminos vecinales, ley 6909</v>
      </c>
      <c r="B254" s="184"/>
      <c r="C254" s="187" t="s">
        <v>66</v>
      </c>
      <c r="D254" s="190" t="s">
        <v>45</v>
      </c>
      <c r="E254" s="190" t="s">
        <v>47</v>
      </c>
      <c r="F254" s="183" t="s">
        <v>1352</v>
      </c>
      <c r="G254" s="184">
        <v>3776950</v>
      </c>
      <c r="H254" s="449"/>
      <c r="I254" s="201"/>
      <c r="J254" s="25"/>
      <c r="K254" s="17"/>
      <c r="L254" s="17"/>
      <c r="M254" s="25"/>
      <c r="O254" s="1292">
        <f t="shared" si="6"/>
        <v>0</v>
      </c>
      <c r="P254" s="881"/>
      <c r="Q254" s="456"/>
      <c r="R254" s="20"/>
    </row>
    <row r="255" spans="1:18" s="16" customFormat="1">
      <c r="A255" s="1372"/>
      <c r="B255" s="184"/>
      <c r="C255" s="187"/>
      <c r="D255" s="190"/>
      <c r="E255" s="190"/>
      <c r="F255" s="185"/>
      <c r="G255" s="807"/>
      <c r="H255" s="449"/>
      <c r="I255" s="201"/>
      <c r="J255" s="25"/>
      <c r="K255" s="17"/>
      <c r="L255" s="17"/>
      <c r="M255" s="25"/>
      <c r="O255" s="1292">
        <f t="shared" si="6"/>
        <v>0</v>
      </c>
      <c r="P255" s="881"/>
      <c r="Q255" s="456"/>
      <c r="R255" s="20"/>
    </row>
    <row r="256" spans="1:18" s="16" customFormat="1">
      <c r="A256" s="1372"/>
      <c r="B256" s="184"/>
      <c r="C256" s="187"/>
      <c r="D256" s="190"/>
      <c r="E256" s="190"/>
      <c r="F256" s="185"/>
      <c r="G256" s="807"/>
      <c r="H256" s="449"/>
      <c r="I256" s="201"/>
      <c r="J256" s="25"/>
      <c r="K256" s="17"/>
      <c r="L256" s="17"/>
      <c r="M256" s="25"/>
      <c r="O256" s="1292">
        <f t="shared" si="6"/>
        <v>0</v>
      </c>
      <c r="P256" s="881"/>
      <c r="Q256" s="456"/>
      <c r="R256" s="20"/>
    </row>
    <row r="257" spans="1:18" s="16" customFormat="1">
      <c r="A257" s="1372"/>
      <c r="B257" s="184"/>
      <c r="C257" s="187"/>
      <c r="D257" s="190"/>
      <c r="E257" s="190"/>
      <c r="F257" s="185"/>
      <c r="G257" s="807"/>
      <c r="H257" s="449"/>
      <c r="I257" s="201"/>
      <c r="J257" s="25"/>
      <c r="K257" s="17"/>
      <c r="L257" s="17"/>
      <c r="M257" s="25"/>
      <c r="O257" s="1292">
        <f t="shared" si="6"/>
        <v>0</v>
      </c>
      <c r="P257" s="881"/>
      <c r="Q257" s="456"/>
      <c r="R257" s="20"/>
    </row>
    <row r="258" spans="1:18" s="16" customFormat="1">
      <c r="A258" s="285"/>
      <c r="B258" s="184"/>
      <c r="C258" s="187"/>
      <c r="D258" s="190"/>
      <c r="E258" s="190"/>
      <c r="F258" s="185"/>
      <c r="G258" s="807"/>
      <c r="H258" s="449"/>
      <c r="I258" s="201"/>
      <c r="J258" s="25"/>
      <c r="K258" s="17"/>
      <c r="L258" s="17"/>
      <c r="M258" s="25"/>
      <c r="O258" s="1292"/>
      <c r="P258" s="881"/>
      <c r="Q258" s="456"/>
      <c r="R258" s="20"/>
    </row>
    <row r="259" spans="1:18" s="16" customFormat="1">
      <c r="A259" s="181"/>
      <c r="B259" s="184"/>
      <c r="C259" s="187"/>
      <c r="D259" s="190"/>
      <c r="E259" s="190"/>
      <c r="F259" s="185"/>
      <c r="G259" s="807"/>
      <c r="H259" s="449"/>
      <c r="I259" s="201"/>
      <c r="J259" s="25"/>
      <c r="K259" s="17"/>
      <c r="L259" s="17"/>
      <c r="M259" s="25"/>
      <c r="O259" s="1292">
        <f t="shared" si="6"/>
        <v>0</v>
      </c>
      <c r="P259" s="881"/>
      <c r="Q259" s="456"/>
      <c r="R259" s="20"/>
    </row>
    <row r="260" spans="1:18" s="16" customFormat="1">
      <c r="A260" s="285" t="s">
        <v>309</v>
      </c>
      <c r="B260" s="184">
        <f>[12]ESTIMACION!$E$253</f>
        <v>1060000000</v>
      </c>
      <c r="C260" s="187"/>
      <c r="D260" s="186"/>
      <c r="E260" s="186"/>
      <c r="F260" s="185"/>
      <c r="G260" s="820">
        <f>SUM(G261:G267)</f>
        <v>1060000000</v>
      </c>
      <c r="H260" s="449">
        <f>B260-G260</f>
        <v>0</v>
      </c>
      <c r="I260" s="201"/>
      <c r="J260" s="25"/>
      <c r="K260" s="17"/>
      <c r="L260" s="17"/>
      <c r="M260" s="25"/>
      <c r="O260" s="1292">
        <f t="shared" si="6"/>
        <v>0</v>
      </c>
      <c r="P260" s="881"/>
      <c r="Q260" s="456"/>
      <c r="R260" s="20"/>
    </row>
    <row r="261" spans="1:18" s="16" customFormat="1">
      <c r="A261" s="1372" t="str">
        <f>[12]ESTIMACION!$D$253</f>
        <v>Recursos ley de simpliflicación y eficiencia tributaria, ley 8114.</v>
      </c>
      <c r="B261" s="184"/>
      <c r="C261" s="188" t="s">
        <v>541</v>
      </c>
      <c r="D261" s="189" t="s">
        <v>537</v>
      </c>
      <c r="E261" s="189"/>
      <c r="F261" s="183" t="s">
        <v>527</v>
      </c>
      <c r="G261" s="184">
        <v>22433061</v>
      </c>
      <c r="H261" s="449"/>
      <c r="I261" s="201"/>
      <c r="J261" s="795">
        <f>[1]GASTOS!$BA$339</f>
        <v>22433061</v>
      </c>
      <c r="K261" s="17">
        <f>J261-G261</f>
        <v>0</v>
      </c>
      <c r="L261" s="17"/>
      <c r="M261" s="25"/>
      <c r="O261" s="1292">
        <f t="shared" si="6"/>
        <v>0</v>
      </c>
      <c r="P261" s="881"/>
      <c r="Q261" s="456"/>
      <c r="R261" s="20"/>
    </row>
    <row r="262" spans="1:18" s="16" customFormat="1">
      <c r="A262" s="1372"/>
      <c r="B262" s="184"/>
      <c r="C262" s="188" t="s">
        <v>66</v>
      </c>
      <c r="D262" s="189" t="s">
        <v>45</v>
      </c>
      <c r="E262" s="189" t="s">
        <v>41</v>
      </c>
      <c r="F262" s="183" t="s">
        <v>1130</v>
      </c>
      <c r="G262" s="983">
        <v>524686939</v>
      </c>
      <c r="H262" s="449"/>
      <c r="I262" s="201"/>
      <c r="J262" s="795">
        <f>[1]GASTOS!$BH$339</f>
        <v>524686939</v>
      </c>
      <c r="K262" s="17">
        <f>J262-G262</f>
        <v>0</v>
      </c>
      <c r="L262" s="17"/>
      <c r="M262" s="25"/>
      <c r="O262" s="1292">
        <f t="shared" si="6"/>
        <v>0</v>
      </c>
      <c r="P262" s="881"/>
      <c r="Q262" s="456"/>
      <c r="R262" s="20"/>
    </row>
    <row r="263" spans="1:18" s="16" customFormat="1" ht="30">
      <c r="A263" s="1372"/>
      <c r="B263" s="184"/>
      <c r="C263" s="188" t="s">
        <v>66</v>
      </c>
      <c r="D263" s="189" t="s">
        <v>45</v>
      </c>
      <c r="E263" s="189" t="s">
        <v>45</v>
      </c>
      <c r="F263" s="183" t="s">
        <v>1263</v>
      </c>
      <c r="G263" s="983">
        <v>406080000</v>
      </c>
      <c r="H263" s="449"/>
      <c r="I263" s="201"/>
      <c r="J263" s="795">
        <f>[1]GASTOS!$BI$339</f>
        <v>406080000</v>
      </c>
      <c r="K263" s="17">
        <f>J263-G263</f>
        <v>0</v>
      </c>
      <c r="L263" s="17"/>
      <c r="M263" s="25"/>
      <c r="O263" s="1292">
        <f t="shared" si="6"/>
        <v>0</v>
      </c>
      <c r="P263" s="881"/>
      <c r="Q263" s="456"/>
      <c r="R263" s="20"/>
    </row>
    <row r="264" spans="1:18" s="16" customFormat="1" ht="30" customHeight="1">
      <c r="A264" s="181"/>
      <c r="B264" s="184"/>
      <c r="C264" s="188" t="s">
        <v>66</v>
      </c>
      <c r="D264" s="189" t="s">
        <v>45</v>
      </c>
      <c r="E264" s="189" t="s">
        <v>526</v>
      </c>
      <c r="F264" s="183" t="s">
        <v>1264</v>
      </c>
      <c r="G264" s="983">
        <v>34800000</v>
      </c>
      <c r="H264" s="449"/>
      <c r="I264" s="201"/>
      <c r="J264" s="795">
        <f>[1]GASTOS!$BJ$339</f>
        <v>34800000</v>
      </c>
      <c r="K264" s="17">
        <f>J264-G264</f>
        <v>0</v>
      </c>
      <c r="L264" s="17"/>
      <c r="M264" s="25"/>
      <c r="O264" s="1292">
        <f t="shared" si="6"/>
        <v>0</v>
      </c>
      <c r="P264" s="881"/>
      <c r="Q264" s="456"/>
      <c r="R264" s="20"/>
    </row>
    <row r="265" spans="1:18" s="16" customFormat="1" ht="45">
      <c r="A265" s="181"/>
      <c r="B265" s="184"/>
      <c r="C265" s="188" t="s">
        <v>66</v>
      </c>
      <c r="D265" s="189" t="s">
        <v>45</v>
      </c>
      <c r="E265" s="189" t="s">
        <v>44</v>
      </c>
      <c r="F265" s="183" t="s">
        <v>1265</v>
      </c>
      <c r="G265" s="983">
        <v>72000000</v>
      </c>
      <c r="H265" s="449"/>
      <c r="I265" s="201"/>
      <c r="J265" s="795">
        <f>[1]GASTOS!$BK$339</f>
        <v>72000000</v>
      </c>
      <c r="K265" s="17">
        <f>J265-G265</f>
        <v>0</v>
      </c>
      <c r="L265" s="17"/>
      <c r="M265" s="25"/>
      <c r="O265" s="1292">
        <f t="shared" si="6"/>
        <v>0</v>
      </c>
      <c r="P265" s="881"/>
      <c r="Q265" s="456"/>
      <c r="R265" s="20"/>
    </row>
    <row r="266" spans="1:18" s="16" customFormat="1">
      <c r="A266" s="181"/>
      <c r="B266" s="184"/>
      <c r="C266" s="188"/>
      <c r="D266" s="189"/>
      <c r="E266" s="189"/>
      <c r="F266" s="183"/>
      <c r="G266" s="983"/>
      <c r="H266" s="449"/>
      <c r="I266" s="201"/>
      <c r="J266" s="201"/>
      <c r="K266" s="17"/>
      <c r="L266" s="17"/>
      <c r="M266" s="25"/>
      <c r="O266" s="1292"/>
      <c r="P266" s="881"/>
      <c r="Q266" s="456"/>
      <c r="R266" s="20"/>
    </row>
    <row r="267" spans="1:18" s="16" customFormat="1">
      <c r="A267" s="181"/>
      <c r="B267" s="184"/>
      <c r="C267" s="188"/>
      <c r="D267" s="189"/>
      <c r="E267" s="189"/>
      <c r="F267" s="183"/>
      <c r="G267" s="807"/>
      <c r="H267" s="449"/>
      <c r="I267" s="201"/>
      <c r="J267" s="25"/>
      <c r="K267" s="17"/>
      <c r="L267" s="17"/>
      <c r="M267" s="25"/>
      <c r="O267" s="1292">
        <f t="shared" si="6"/>
        <v>0</v>
      </c>
      <c r="P267" s="881"/>
      <c r="Q267" s="456"/>
      <c r="R267" s="20"/>
    </row>
    <row r="268" spans="1:18" s="16" customFormat="1">
      <c r="A268" s="181"/>
      <c r="B268" s="184"/>
      <c r="C268" s="188"/>
      <c r="D268" s="189"/>
      <c r="E268" s="189"/>
      <c r="F268" s="183"/>
      <c r="G268" s="807"/>
      <c r="H268" s="449"/>
      <c r="I268" s="201"/>
      <c r="J268" s="25"/>
      <c r="K268" s="17"/>
      <c r="L268" s="17"/>
      <c r="M268" s="25"/>
      <c r="O268" s="1292">
        <f t="shared" si="6"/>
        <v>0</v>
      </c>
      <c r="P268" s="881"/>
      <c r="Q268" s="456"/>
      <c r="R268" s="20"/>
    </row>
    <row r="269" spans="1:18" s="16" customFormat="1" hidden="1">
      <c r="A269" s="671" t="s">
        <v>1132</v>
      </c>
      <c r="B269" s="184">
        <f>[12]ESTIMACION!$E$280</f>
        <v>0</v>
      </c>
      <c r="C269" s="187"/>
      <c r="D269" s="186"/>
      <c r="E269" s="186"/>
      <c r="F269" s="185"/>
      <c r="G269" s="806">
        <f>SUM(G270:G271)</f>
        <v>0</v>
      </c>
      <c r="H269" s="449">
        <f>B269-G269</f>
        <v>0</v>
      </c>
      <c r="I269" s="201"/>
      <c r="J269" s="25"/>
      <c r="K269" s="17"/>
      <c r="L269" s="17"/>
      <c r="M269" s="25"/>
      <c r="O269" s="1292">
        <f t="shared" si="6"/>
        <v>0</v>
      </c>
      <c r="P269" s="881"/>
      <c r="Q269" s="456"/>
      <c r="R269" s="20"/>
    </row>
    <row r="270" spans="1:18" s="16" customFormat="1" ht="18" hidden="1" customHeight="1">
      <c r="A270" s="1372" t="str">
        <f>[12]ESTIMACION!$D$280</f>
        <v>Aporte Fondos Mideplan, para elaboración plan regulador.</v>
      </c>
      <c r="B270" s="184"/>
      <c r="C270" s="187" t="s">
        <v>66</v>
      </c>
      <c r="D270" s="190" t="s">
        <v>47</v>
      </c>
      <c r="E270" s="190" t="s">
        <v>44</v>
      </c>
      <c r="F270" s="185" t="s">
        <v>259</v>
      </c>
      <c r="G270" s="807"/>
      <c r="H270" s="449"/>
      <c r="I270" s="201"/>
      <c r="J270" s="25"/>
      <c r="K270" s="17"/>
      <c r="L270" s="17"/>
      <c r="M270" s="25"/>
      <c r="O270" s="1292">
        <f t="shared" si="6"/>
        <v>0</v>
      </c>
      <c r="P270" s="881"/>
      <c r="Q270" s="456"/>
      <c r="R270" s="20"/>
    </row>
    <row r="271" spans="1:18" s="16" customFormat="1" ht="18" hidden="1" customHeight="1">
      <c r="A271" s="1372"/>
      <c r="B271" s="184"/>
      <c r="C271" s="187"/>
      <c r="D271" s="190"/>
      <c r="E271" s="190"/>
      <c r="F271" s="185"/>
      <c r="G271" s="807"/>
      <c r="H271" s="449"/>
      <c r="I271" s="201"/>
      <c r="J271" s="25"/>
      <c r="K271" s="17"/>
      <c r="L271" s="17"/>
      <c r="M271" s="25"/>
      <c r="O271" s="1292">
        <f t="shared" si="6"/>
        <v>0</v>
      </c>
      <c r="P271" s="881"/>
      <c r="Q271" s="456"/>
      <c r="R271" s="20"/>
    </row>
    <row r="272" spans="1:18" s="16" customFormat="1" hidden="1">
      <c r="A272" s="1372"/>
      <c r="B272" s="184"/>
      <c r="C272" s="187"/>
      <c r="D272" s="190"/>
      <c r="E272" s="190"/>
      <c r="F272" s="185"/>
      <c r="G272" s="807"/>
      <c r="H272" s="449"/>
      <c r="I272" s="201"/>
      <c r="J272" s="25"/>
      <c r="K272" s="17"/>
      <c r="L272" s="17"/>
      <c r="M272" s="25"/>
      <c r="O272" s="1292">
        <f t="shared" si="6"/>
        <v>0</v>
      </c>
      <c r="P272" s="881"/>
      <c r="Q272" s="456"/>
      <c r="R272" s="20"/>
    </row>
    <row r="273" spans="1:18" s="16" customFormat="1" hidden="1">
      <c r="A273" s="378"/>
      <c r="B273" s="184"/>
      <c r="C273" s="187"/>
      <c r="D273" s="190"/>
      <c r="E273" s="190"/>
      <c r="F273" s="185"/>
      <c r="G273" s="807"/>
      <c r="H273" s="449"/>
      <c r="I273" s="201"/>
      <c r="J273" s="25"/>
      <c r="K273" s="17"/>
      <c r="L273" s="17"/>
      <c r="M273" s="25"/>
      <c r="O273" s="1292">
        <f t="shared" si="6"/>
        <v>0</v>
      </c>
      <c r="P273" s="881"/>
      <c r="Q273" s="456"/>
      <c r="R273" s="20"/>
    </row>
    <row r="274" spans="1:18" s="16" customFormat="1" hidden="1">
      <c r="A274" s="181"/>
      <c r="B274" s="184"/>
      <c r="C274" s="187"/>
      <c r="D274" s="190"/>
      <c r="E274" s="190"/>
      <c r="F274" s="185"/>
      <c r="G274" s="807"/>
      <c r="H274" s="449"/>
      <c r="I274" s="201"/>
      <c r="J274" s="25"/>
      <c r="K274" s="17"/>
      <c r="L274" s="17"/>
      <c r="M274" s="25"/>
      <c r="O274" s="1292">
        <f t="shared" si="6"/>
        <v>0</v>
      </c>
      <c r="P274" s="881"/>
      <c r="Q274" s="456"/>
      <c r="R274" s="20"/>
    </row>
    <row r="275" spans="1:18" s="16" customFormat="1">
      <c r="A275" s="1285" t="s">
        <v>1133</v>
      </c>
      <c r="B275" s="184">
        <f>[12]ESTIMACION!$E$291</f>
        <v>900900000</v>
      </c>
      <c r="C275" s="187"/>
      <c r="D275" s="186"/>
      <c r="E275" s="186"/>
      <c r="F275" s="185"/>
      <c r="G275" s="820">
        <f>SUM(G276:G277)</f>
        <v>900900000</v>
      </c>
      <c r="H275" s="449">
        <f>B275-G275</f>
        <v>0</v>
      </c>
      <c r="I275" s="201"/>
      <c r="J275" s="25"/>
      <c r="K275" s="17"/>
      <c r="L275" s="17"/>
      <c r="M275" s="25"/>
      <c r="O275" s="1292">
        <f t="shared" si="6"/>
        <v>0</v>
      </c>
      <c r="P275" s="881"/>
      <c r="Q275" s="456"/>
      <c r="R275" s="20"/>
    </row>
    <row r="276" spans="1:18" s="16" customFormat="1" ht="18" customHeight="1">
      <c r="A276" s="1372" t="str">
        <f>[12]ESTIMACION!$D$291</f>
        <v>Préstamo IFAM Nº 1-RS-1368-0612 , para construcción relleno sanitario.</v>
      </c>
      <c r="B276" s="184"/>
      <c r="C276" s="187" t="s">
        <v>66</v>
      </c>
      <c r="D276" s="190" t="s">
        <v>47</v>
      </c>
      <c r="E276" s="190" t="s">
        <v>44</v>
      </c>
      <c r="F276" s="185" t="s">
        <v>651</v>
      </c>
      <c r="G276" s="184">
        <v>900900000</v>
      </c>
      <c r="H276" s="449"/>
      <c r="I276" s="201"/>
      <c r="J276" s="25"/>
      <c r="K276" s="17"/>
      <c r="L276" s="17"/>
      <c r="M276" s="25"/>
      <c r="O276" s="1292">
        <f t="shared" si="6"/>
        <v>0</v>
      </c>
      <c r="P276" s="881"/>
      <c r="Q276" s="456"/>
      <c r="R276" s="20"/>
    </row>
    <row r="277" spans="1:18" s="16" customFormat="1">
      <c r="A277" s="1372"/>
      <c r="B277" s="184"/>
      <c r="C277" s="187"/>
      <c r="D277" s="190"/>
      <c r="E277" s="190"/>
      <c r="F277" s="185"/>
      <c r="G277" s="807"/>
      <c r="H277" s="449"/>
      <c r="I277" s="201"/>
      <c r="J277" s="25"/>
      <c r="K277" s="17"/>
      <c r="L277" s="17"/>
      <c r="M277" s="25"/>
      <c r="O277" s="1292">
        <f t="shared" si="6"/>
        <v>0</v>
      </c>
      <c r="P277" s="881"/>
      <c r="Q277" s="456"/>
      <c r="R277" s="20"/>
    </row>
    <row r="278" spans="1:18" s="16" customFormat="1">
      <c r="A278" s="1372"/>
      <c r="B278" s="184"/>
      <c r="C278" s="187"/>
      <c r="D278" s="190"/>
      <c r="E278" s="190"/>
      <c r="F278" s="185"/>
      <c r="G278" s="807"/>
      <c r="H278" s="449"/>
      <c r="I278" s="201"/>
      <c r="J278" s="25"/>
      <c r="K278" s="17"/>
      <c r="L278" s="17"/>
      <c r="M278" s="25"/>
      <c r="O278" s="1292">
        <f t="shared" si="6"/>
        <v>0</v>
      </c>
      <c r="P278" s="881"/>
      <c r="Q278" s="456"/>
      <c r="R278" s="20"/>
    </row>
    <row r="279" spans="1:18" s="16" customFormat="1">
      <c r="A279" s="181"/>
      <c r="B279" s="184"/>
      <c r="C279" s="187"/>
      <c r="D279" s="190"/>
      <c r="E279" s="190"/>
      <c r="F279" s="185"/>
      <c r="G279" s="807"/>
      <c r="H279" s="449"/>
      <c r="I279" s="201"/>
      <c r="J279" s="25"/>
      <c r="K279" s="17"/>
      <c r="L279" s="17"/>
      <c r="M279" s="25"/>
      <c r="O279" s="1292">
        <f t="shared" si="6"/>
        <v>0</v>
      </c>
      <c r="P279" s="881"/>
      <c r="Q279" s="456"/>
      <c r="R279" s="20"/>
    </row>
    <row r="280" spans="1:18" s="16" customFormat="1">
      <c r="A280" s="378"/>
      <c r="B280" s="184"/>
      <c r="C280" s="187"/>
      <c r="D280" s="190"/>
      <c r="E280" s="190"/>
      <c r="F280" s="185"/>
      <c r="G280" s="807"/>
      <c r="H280" s="449"/>
      <c r="I280" s="201"/>
      <c r="J280" s="25"/>
      <c r="K280" s="17"/>
      <c r="L280" s="17"/>
      <c r="M280" s="25"/>
      <c r="O280" s="1292">
        <f t="shared" si="6"/>
        <v>0</v>
      </c>
      <c r="P280" s="881"/>
      <c r="Q280" s="456"/>
      <c r="R280" s="20"/>
    </row>
    <row r="281" spans="1:18" s="16" customFormat="1">
      <c r="A281" s="378"/>
      <c r="B281" s="184"/>
      <c r="C281" s="187"/>
      <c r="D281" s="190"/>
      <c r="E281" s="190"/>
      <c r="F281" s="185"/>
      <c r="G281" s="807"/>
      <c r="H281" s="449"/>
      <c r="I281" s="201"/>
      <c r="J281" s="25"/>
      <c r="K281" s="17"/>
      <c r="L281" s="17"/>
      <c r="M281" s="25"/>
      <c r="O281" s="1292"/>
      <c r="P281" s="881"/>
      <c r="Q281" s="456"/>
      <c r="R281" s="20"/>
    </row>
    <row r="282" spans="1:18" s="16" customFormat="1">
      <c r="A282" s="378"/>
      <c r="B282" s="184"/>
      <c r="C282" s="187"/>
      <c r="D282" s="190"/>
      <c r="E282" s="190"/>
      <c r="F282" s="185"/>
      <c r="G282" s="807"/>
      <c r="H282" s="449"/>
      <c r="I282" s="201"/>
      <c r="J282" s="25"/>
      <c r="K282" s="17"/>
      <c r="L282" s="17"/>
      <c r="M282" s="25"/>
      <c r="O282" s="1292"/>
      <c r="P282" s="881"/>
      <c r="Q282" s="456"/>
      <c r="R282" s="20"/>
    </row>
    <row r="283" spans="1:18" s="16" customFormat="1">
      <c r="A283" s="378"/>
      <c r="B283" s="184"/>
      <c r="C283" s="187"/>
      <c r="D283" s="190"/>
      <c r="E283" s="190"/>
      <c r="F283" s="185"/>
      <c r="G283" s="807"/>
      <c r="H283" s="449"/>
      <c r="I283" s="201"/>
      <c r="J283" s="25"/>
      <c r="K283" s="17"/>
      <c r="L283" s="17"/>
      <c r="M283" s="25"/>
      <c r="O283" s="1292"/>
      <c r="P283" s="881"/>
      <c r="Q283" s="456"/>
      <c r="R283" s="20"/>
    </row>
    <row r="284" spans="1:18" s="16" customFormat="1">
      <c r="A284" s="89"/>
      <c r="B284" s="184"/>
      <c r="C284" s="187"/>
      <c r="D284" s="190"/>
      <c r="E284" s="190"/>
      <c r="F284" s="185"/>
      <c r="G284" s="807"/>
      <c r="H284" s="449"/>
      <c r="I284" s="201"/>
      <c r="J284" s="25"/>
      <c r="K284" s="17"/>
      <c r="L284" s="17"/>
      <c r="M284" s="25"/>
      <c r="O284" s="1292">
        <f t="shared" si="6"/>
        <v>0</v>
      </c>
      <c r="P284" s="881"/>
      <c r="Q284" s="456"/>
      <c r="R284" s="20"/>
    </row>
    <row r="285" spans="1:18" s="16" customFormat="1" hidden="1">
      <c r="A285" s="794" t="s">
        <v>1134</v>
      </c>
      <c r="B285" s="184">
        <f>[12]ESTIMACION!$E$292</f>
        <v>0</v>
      </c>
      <c r="C285" s="187"/>
      <c r="D285" s="186"/>
      <c r="E285" s="186"/>
      <c r="F285" s="185"/>
      <c r="G285" s="806">
        <f>SUM(G286:G287)</f>
        <v>0</v>
      </c>
      <c r="H285" s="449">
        <f>B285-G285</f>
        <v>0</v>
      </c>
      <c r="I285" s="201"/>
      <c r="J285" s="25"/>
      <c r="K285" s="17"/>
      <c r="L285" s="17"/>
      <c r="M285" s="25"/>
      <c r="O285" s="1292">
        <f t="shared" si="6"/>
        <v>0</v>
      </c>
      <c r="P285" s="881"/>
      <c r="Q285" s="456"/>
      <c r="R285" s="20"/>
    </row>
    <row r="286" spans="1:18" s="16" customFormat="1" ht="18" hidden="1" customHeight="1">
      <c r="A286" s="1372" t="str">
        <f>[12]ESTIMACION!$D$292</f>
        <v>Préstamo IFAM Nº          para</v>
      </c>
      <c r="B286" s="184"/>
      <c r="C286" s="187" t="s">
        <v>66</v>
      </c>
      <c r="D286" s="190"/>
      <c r="E286" s="190"/>
      <c r="F286" s="185"/>
      <c r="G286" s="807"/>
      <c r="H286" s="449"/>
      <c r="I286" s="201"/>
      <c r="J286" s="25"/>
      <c r="K286" s="17"/>
      <c r="L286" s="17"/>
      <c r="M286" s="25"/>
      <c r="O286" s="1292">
        <f t="shared" si="6"/>
        <v>0</v>
      </c>
      <c r="P286" s="881"/>
      <c r="Q286" s="456"/>
      <c r="R286" s="20"/>
    </row>
    <row r="287" spans="1:18" s="16" customFormat="1" hidden="1">
      <c r="A287" s="1372"/>
      <c r="B287" s="184"/>
      <c r="C287" s="187"/>
      <c r="D287" s="190"/>
      <c r="E287" s="190"/>
      <c r="F287" s="185"/>
      <c r="G287" s="807"/>
      <c r="H287" s="449"/>
      <c r="I287" s="201"/>
      <c r="J287" s="25"/>
      <c r="K287" s="17"/>
      <c r="L287" s="17"/>
      <c r="M287" s="25"/>
      <c r="O287" s="1292">
        <f t="shared" si="6"/>
        <v>0</v>
      </c>
      <c r="P287" s="881"/>
      <c r="Q287" s="456"/>
      <c r="R287" s="20"/>
    </row>
    <row r="288" spans="1:18" s="16" customFormat="1" hidden="1">
      <c r="A288" s="1372"/>
      <c r="B288" s="184"/>
      <c r="C288" s="187"/>
      <c r="D288" s="190"/>
      <c r="E288" s="190"/>
      <c r="F288" s="185"/>
      <c r="G288" s="807"/>
      <c r="H288" s="449"/>
      <c r="I288" s="201"/>
      <c r="J288" s="25"/>
      <c r="K288" s="17"/>
      <c r="L288" s="17"/>
      <c r="M288" s="25"/>
      <c r="O288" s="1292">
        <f t="shared" si="6"/>
        <v>0</v>
      </c>
      <c r="P288" s="881"/>
      <c r="Q288" s="456"/>
      <c r="R288" s="20"/>
    </row>
    <row r="289" spans="1:18" s="16" customFormat="1" hidden="1">
      <c r="A289" s="378"/>
      <c r="B289" s="184"/>
      <c r="C289" s="187"/>
      <c r="D289" s="190"/>
      <c r="E289" s="190"/>
      <c r="F289" s="185"/>
      <c r="G289" s="807"/>
      <c r="H289" s="449"/>
      <c r="I289" s="201"/>
      <c r="J289" s="25"/>
      <c r="K289" s="17"/>
      <c r="L289" s="17"/>
      <c r="M289" s="25"/>
      <c r="O289" s="1292">
        <f t="shared" si="6"/>
        <v>0</v>
      </c>
      <c r="P289" s="881"/>
      <c r="Q289" s="456"/>
      <c r="R289" s="20"/>
    </row>
    <row r="290" spans="1:18" s="16" customFormat="1" hidden="1">
      <c r="A290" s="378"/>
      <c r="B290" s="184"/>
      <c r="C290" s="187"/>
      <c r="D290" s="190"/>
      <c r="E290" s="190"/>
      <c r="F290" s="185"/>
      <c r="G290" s="807"/>
      <c r="H290" s="449"/>
      <c r="I290" s="201"/>
      <c r="J290" s="25"/>
      <c r="K290" s="17"/>
      <c r="L290" s="17"/>
      <c r="M290" s="25"/>
      <c r="O290" s="1292">
        <f t="shared" si="6"/>
        <v>0</v>
      </c>
      <c r="P290" s="881"/>
      <c r="Q290" s="456"/>
      <c r="R290" s="20"/>
    </row>
    <row r="291" spans="1:18" s="16" customFormat="1" hidden="1">
      <c r="A291" s="89"/>
      <c r="B291" s="184"/>
      <c r="C291" s="187"/>
      <c r="D291" s="190"/>
      <c r="E291" s="190"/>
      <c r="F291" s="185"/>
      <c r="G291" s="807"/>
      <c r="H291" s="449"/>
      <c r="I291" s="201"/>
      <c r="J291" s="25"/>
      <c r="K291" s="17"/>
      <c r="L291" s="17"/>
      <c r="M291" s="25"/>
      <c r="O291" s="1292">
        <f t="shared" si="6"/>
        <v>0</v>
      </c>
      <c r="P291" s="881"/>
      <c r="Q291" s="456"/>
      <c r="R291" s="20"/>
    </row>
    <row r="292" spans="1:18" s="16" customFormat="1" hidden="1">
      <c r="A292" s="181" t="s">
        <v>1135</v>
      </c>
      <c r="B292" s="184">
        <f>[12]ESTIMACION!$E$295</f>
        <v>0</v>
      </c>
      <c r="C292" s="187"/>
      <c r="D292" s="186"/>
      <c r="E292" s="186"/>
      <c r="F292" s="185"/>
      <c r="G292" s="820">
        <f>SUM(G293:G294)</f>
        <v>0</v>
      </c>
      <c r="H292" s="449">
        <f>B292-G292</f>
        <v>0</v>
      </c>
      <c r="I292" s="201"/>
      <c r="J292" s="25"/>
      <c r="K292" s="17"/>
      <c r="L292" s="17"/>
      <c r="M292" s="25"/>
      <c r="O292" s="1292">
        <f t="shared" si="6"/>
        <v>0</v>
      </c>
      <c r="P292" s="881"/>
      <c r="Q292" s="456"/>
      <c r="R292" s="20"/>
    </row>
    <row r="293" spans="1:18" s="16" customFormat="1" ht="18" hidden="1" customHeight="1">
      <c r="A293" s="1372" t="str">
        <f>[12]ESTIMACION!$D$295</f>
        <v>Préstamo BNCR, para Mejoras Matadero Municipal.</v>
      </c>
      <c r="B293" s="184"/>
      <c r="C293" s="187" t="s">
        <v>56</v>
      </c>
      <c r="D293" s="190" t="s">
        <v>88</v>
      </c>
      <c r="E293" s="190"/>
      <c r="F293" s="185" t="s">
        <v>108</v>
      </c>
      <c r="G293" s="184"/>
      <c r="H293" s="449"/>
      <c r="I293" s="201"/>
      <c r="J293" s="25"/>
      <c r="K293" s="17"/>
      <c r="L293" s="17"/>
      <c r="M293" s="25"/>
      <c r="O293" s="1292">
        <f t="shared" si="6"/>
        <v>0</v>
      </c>
      <c r="P293" s="881"/>
      <c r="Q293" s="456"/>
      <c r="R293" s="20"/>
    </row>
    <row r="294" spans="1:18" s="16" customFormat="1" ht="26.25" hidden="1" customHeight="1">
      <c r="A294" s="1372"/>
      <c r="B294" s="184"/>
      <c r="C294" s="187"/>
      <c r="D294" s="190"/>
      <c r="E294" s="190"/>
      <c r="F294" s="185"/>
      <c r="G294" s="807"/>
      <c r="H294" s="449"/>
      <c r="I294" s="201"/>
      <c r="J294" s="25"/>
      <c r="K294" s="17"/>
      <c r="L294" s="17"/>
      <c r="M294" s="25"/>
      <c r="O294" s="1292">
        <f t="shared" si="6"/>
        <v>0</v>
      </c>
      <c r="P294" s="881"/>
      <c r="Q294" s="456"/>
      <c r="R294" s="20"/>
    </row>
    <row r="295" spans="1:18" s="16" customFormat="1" hidden="1">
      <c r="A295" s="285"/>
      <c r="B295" s="184"/>
      <c r="C295" s="187"/>
      <c r="D295" s="190"/>
      <c r="E295" s="190"/>
      <c r="F295" s="185"/>
      <c r="G295" s="807"/>
      <c r="H295" s="449"/>
      <c r="I295" s="201"/>
      <c r="J295" s="25"/>
      <c r="K295" s="17"/>
      <c r="L295" s="17"/>
      <c r="M295" s="25"/>
      <c r="O295" s="1292">
        <f t="shared" si="6"/>
        <v>0</v>
      </c>
      <c r="P295" s="881"/>
      <c r="Q295" s="456"/>
      <c r="R295" s="20"/>
    </row>
    <row r="296" spans="1:18" s="47" customFormat="1" hidden="1">
      <c r="A296" s="285"/>
      <c r="B296" s="184"/>
      <c r="C296" s="187"/>
      <c r="D296" s="190"/>
      <c r="E296" s="190"/>
      <c r="F296" s="185"/>
      <c r="G296" s="807"/>
      <c r="H296" s="966"/>
      <c r="I296" s="967"/>
      <c r="J296" s="968"/>
      <c r="K296" s="18"/>
      <c r="L296" s="18"/>
      <c r="M296" s="968"/>
      <c r="O296" s="1292">
        <f t="shared" si="6"/>
        <v>0</v>
      </c>
      <c r="P296" s="969"/>
      <c r="Q296" s="1001"/>
      <c r="R296" s="1002"/>
    </row>
    <row r="297" spans="1:18" s="16" customFormat="1" hidden="1">
      <c r="A297" s="285"/>
      <c r="B297" s="184"/>
      <c r="C297" s="187"/>
      <c r="D297" s="190"/>
      <c r="E297" s="190"/>
      <c r="F297" s="185"/>
      <c r="G297" s="807"/>
      <c r="H297" s="449"/>
      <c r="I297" s="201"/>
      <c r="J297" s="25"/>
      <c r="K297" s="17"/>
      <c r="L297" s="17"/>
      <c r="M297" s="25"/>
      <c r="O297" s="1292">
        <f t="shared" si="6"/>
        <v>0</v>
      </c>
      <c r="P297" s="881"/>
      <c r="Q297" s="456"/>
      <c r="R297" s="20"/>
    </row>
    <row r="298" spans="1:18" s="16" customFormat="1" hidden="1">
      <c r="A298" s="794" t="s">
        <v>1270</v>
      </c>
      <c r="B298" s="184">
        <f>[12]ESTIMACION!$E$296</f>
        <v>0</v>
      </c>
      <c r="C298" s="187"/>
      <c r="D298" s="186"/>
      <c r="E298" s="186"/>
      <c r="F298" s="185"/>
      <c r="G298" s="820">
        <f>SUM(G299:G300)</f>
        <v>0</v>
      </c>
      <c r="H298" s="449">
        <f>B298-G298</f>
        <v>0</v>
      </c>
      <c r="I298" s="201"/>
      <c r="J298" s="25"/>
      <c r="K298" s="17"/>
      <c r="L298" s="17"/>
      <c r="M298" s="25"/>
      <c r="O298" s="1292">
        <f t="shared" ref="O298:O317" si="7">IF(F298="Administración General",G298,0)</f>
        <v>0</v>
      </c>
      <c r="P298" s="881"/>
      <c r="Q298" s="456"/>
      <c r="R298" s="20"/>
    </row>
    <row r="299" spans="1:18" s="16" customFormat="1" ht="18" hidden="1" customHeight="1">
      <c r="A299" s="1370" t="str">
        <f>[12]ESTIMACION!$D$296</f>
        <v>Préstamo BNCR, para Construcción Relleno Sanitario.</v>
      </c>
      <c r="B299" s="184"/>
      <c r="C299" s="187" t="s">
        <v>66</v>
      </c>
      <c r="D299" s="190" t="s">
        <v>47</v>
      </c>
      <c r="E299" s="190" t="s">
        <v>45</v>
      </c>
      <c r="F299" s="1370" t="s">
        <v>1271</v>
      </c>
      <c r="G299" s="184"/>
      <c r="H299" s="449"/>
      <c r="I299" s="201"/>
      <c r="J299" s="25"/>
      <c r="K299" s="17"/>
      <c r="L299" s="17"/>
      <c r="M299" s="25"/>
      <c r="O299" s="1292">
        <f t="shared" si="7"/>
        <v>0</v>
      </c>
      <c r="P299" s="881"/>
      <c r="Q299" s="456"/>
      <c r="R299" s="20"/>
    </row>
    <row r="300" spans="1:18" s="16" customFormat="1" ht="24" hidden="1" customHeight="1">
      <c r="A300" s="1370"/>
      <c r="B300" s="184"/>
      <c r="C300" s="187"/>
      <c r="D300" s="190"/>
      <c r="E300" s="190"/>
      <c r="F300" s="1370"/>
      <c r="G300" s="184"/>
      <c r="H300" s="449"/>
      <c r="I300" s="201"/>
      <c r="J300" s="25"/>
      <c r="K300" s="17"/>
      <c r="L300" s="17"/>
      <c r="M300" s="25"/>
      <c r="O300" s="1292">
        <f t="shared" si="7"/>
        <v>0</v>
      </c>
      <c r="P300" s="881"/>
      <c r="Q300" s="456"/>
      <c r="R300" s="20"/>
    </row>
    <row r="301" spans="1:18" s="16" customFormat="1" hidden="1">
      <c r="A301" s="181"/>
      <c r="B301" s="184"/>
      <c r="C301" s="187"/>
      <c r="D301" s="190"/>
      <c r="E301" s="190"/>
      <c r="F301" s="181"/>
      <c r="G301" s="807"/>
      <c r="H301" s="449"/>
      <c r="I301" s="201"/>
      <c r="J301" s="25"/>
      <c r="K301" s="17"/>
      <c r="L301" s="17"/>
      <c r="M301" s="25"/>
      <c r="O301" s="1292">
        <f t="shared" si="7"/>
        <v>0</v>
      </c>
      <c r="P301" s="881"/>
      <c r="Q301" s="456"/>
      <c r="R301" s="20"/>
    </row>
    <row r="302" spans="1:18" s="16" customFormat="1" hidden="1">
      <c r="A302" s="181"/>
      <c r="B302" s="184"/>
      <c r="C302" s="187"/>
      <c r="D302" s="190"/>
      <c r="E302" s="190"/>
      <c r="F302" s="181"/>
      <c r="G302" s="807"/>
      <c r="H302" s="449"/>
      <c r="I302" s="201"/>
      <c r="J302" s="25"/>
      <c r="K302" s="17"/>
      <c r="L302" s="17"/>
      <c r="M302" s="25"/>
      <c r="O302" s="1292">
        <f t="shared" si="7"/>
        <v>0</v>
      </c>
      <c r="P302" s="881"/>
      <c r="Q302" s="456"/>
      <c r="R302" s="20"/>
    </row>
    <row r="303" spans="1:18" s="16" customFormat="1" hidden="1">
      <c r="A303" s="378"/>
      <c r="B303" s="184"/>
      <c r="C303" s="187"/>
      <c r="D303" s="190"/>
      <c r="E303" s="190"/>
      <c r="F303" s="185"/>
      <c r="G303" s="807"/>
      <c r="H303" s="449"/>
      <c r="I303" s="201"/>
      <c r="J303" s="25"/>
      <c r="K303" s="17"/>
      <c r="L303" s="17"/>
      <c r="M303" s="25"/>
      <c r="O303" s="1292">
        <f t="shared" si="7"/>
        <v>0</v>
      </c>
      <c r="P303" s="881"/>
      <c r="Q303" s="456"/>
      <c r="R303" s="20"/>
    </row>
    <row r="304" spans="1:18" s="16" customFormat="1" hidden="1">
      <c r="A304" s="181"/>
      <c r="B304" s="184"/>
      <c r="C304" s="187"/>
      <c r="D304" s="190"/>
      <c r="E304" s="190"/>
      <c r="F304" s="181"/>
      <c r="G304" s="807"/>
      <c r="H304" s="449"/>
      <c r="I304" s="201"/>
      <c r="J304" s="25"/>
      <c r="K304" s="17"/>
      <c r="L304" s="17"/>
      <c r="M304" s="25"/>
      <c r="O304" s="1292">
        <f t="shared" si="7"/>
        <v>0</v>
      </c>
      <c r="P304" s="881"/>
      <c r="Q304" s="456"/>
      <c r="R304" s="20"/>
    </row>
    <row r="305" spans="1:18" s="16" customFormat="1">
      <c r="A305" s="181" t="s">
        <v>1136</v>
      </c>
      <c r="B305" s="184">
        <f>[12]ESTIMACION!$E$304</f>
        <v>180000000</v>
      </c>
      <c r="C305" s="187"/>
      <c r="D305" s="186"/>
      <c r="E305" s="186"/>
      <c r="F305" s="185"/>
      <c r="G305" s="820">
        <f>SUM(G306:G308)</f>
        <v>180000000</v>
      </c>
      <c r="H305" s="449">
        <f>B305-G305</f>
        <v>0</v>
      </c>
      <c r="I305" s="201"/>
      <c r="J305" s="25"/>
      <c r="K305" s="17"/>
      <c r="L305" s="17"/>
      <c r="M305" s="25"/>
      <c r="O305" s="1292">
        <f t="shared" si="7"/>
        <v>0</v>
      </c>
      <c r="P305" s="881"/>
      <c r="Q305" s="456"/>
      <c r="R305" s="20"/>
    </row>
    <row r="306" spans="1:18" s="16" customFormat="1" ht="30">
      <c r="A306" s="1371" t="str">
        <f>[12]ESTIMACION!$D$304</f>
        <v>Aporte FODESAF para Construcción y Equipamiento del Centro de Cuido Infantil.</v>
      </c>
      <c r="B306" s="184"/>
      <c r="C306" s="187" t="s">
        <v>56</v>
      </c>
      <c r="D306" s="190" t="s">
        <v>1097</v>
      </c>
      <c r="E306" s="190"/>
      <c r="F306" s="183" t="s">
        <v>1625</v>
      </c>
      <c r="G306" s="184">
        <v>20000000</v>
      </c>
      <c r="H306" s="449"/>
      <c r="I306" s="201"/>
      <c r="J306" s="25"/>
      <c r="K306" s="17"/>
      <c r="L306" s="17"/>
      <c r="M306" s="25"/>
      <c r="O306" s="1292">
        <f t="shared" si="7"/>
        <v>0</v>
      </c>
      <c r="P306" s="881"/>
      <c r="Q306" s="456"/>
      <c r="R306" s="20"/>
    </row>
    <row r="307" spans="1:18" s="16" customFormat="1" ht="30">
      <c r="A307" s="1371"/>
      <c r="B307" s="184"/>
      <c r="C307" s="187" t="s">
        <v>66</v>
      </c>
      <c r="D307" s="190" t="s">
        <v>41</v>
      </c>
      <c r="E307" s="190" t="s">
        <v>41</v>
      </c>
      <c r="F307" s="183" t="s">
        <v>1626</v>
      </c>
      <c r="G307" s="184">
        <v>160000000</v>
      </c>
      <c r="I307" s="201"/>
      <c r="J307" s="25"/>
      <c r="K307" s="17"/>
      <c r="L307" s="17"/>
      <c r="M307" s="25"/>
      <c r="O307" s="1292">
        <f t="shared" si="7"/>
        <v>0</v>
      </c>
      <c r="P307" s="881"/>
      <c r="Q307" s="456"/>
      <c r="R307" s="20"/>
    </row>
    <row r="308" spans="1:18" s="16" customFormat="1">
      <c r="A308" s="378"/>
      <c r="B308" s="184"/>
      <c r="C308" s="187"/>
      <c r="D308" s="190"/>
      <c r="E308" s="190"/>
      <c r="F308" s="185"/>
      <c r="G308" s="807"/>
      <c r="I308" s="201"/>
      <c r="J308" s="25"/>
      <c r="K308" s="17"/>
      <c r="L308" s="17"/>
      <c r="M308" s="25"/>
      <c r="O308" s="1292">
        <f t="shared" si="7"/>
        <v>0</v>
      </c>
      <c r="P308" s="881"/>
      <c r="Q308" s="456"/>
      <c r="R308" s="20"/>
    </row>
    <row r="309" spans="1:18" s="16" customFormat="1">
      <c r="A309" s="378"/>
      <c r="B309" s="184"/>
      <c r="C309" s="187"/>
      <c r="D309" s="190"/>
      <c r="E309" s="190"/>
      <c r="F309" s="185"/>
      <c r="G309" s="807"/>
      <c r="H309" s="449"/>
      <c r="I309" s="201"/>
      <c r="J309" s="25"/>
      <c r="K309" s="17"/>
      <c r="L309" s="17"/>
      <c r="M309" s="25"/>
      <c r="O309" s="1292">
        <f t="shared" si="7"/>
        <v>0</v>
      </c>
      <c r="P309" s="881"/>
      <c r="Q309" s="456"/>
      <c r="R309" s="20"/>
    </row>
    <row r="310" spans="1:18" s="47" customFormat="1" hidden="1">
      <c r="A310" s="378"/>
      <c r="B310" s="184"/>
      <c r="C310" s="187"/>
      <c r="D310" s="190"/>
      <c r="E310" s="190"/>
      <c r="F310" s="185"/>
      <c r="G310" s="807"/>
      <c r="H310" s="966"/>
      <c r="I310" s="967"/>
      <c r="J310" s="968"/>
      <c r="K310" s="18"/>
      <c r="L310" s="18"/>
      <c r="M310" s="968"/>
      <c r="O310" s="1292">
        <f t="shared" si="7"/>
        <v>0</v>
      </c>
      <c r="P310" s="969"/>
      <c r="Q310" s="1001"/>
      <c r="R310" s="1002"/>
    </row>
    <row r="311" spans="1:18" s="16" customFormat="1" hidden="1">
      <c r="A311" s="378"/>
      <c r="B311" s="184"/>
      <c r="C311" s="187"/>
      <c r="D311" s="190"/>
      <c r="E311" s="190"/>
      <c r="F311" s="185"/>
      <c r="G311" s="807"/>
      <c r="H311" s="449"/>
      <c r="I311" s="201"/>
      <c r="J311" s="25"/>
      <c r="K311" s="17"/>
      <c r="L311" s="17"/>
      <c r="M311" s="25"/>
      <c r="O311" s="1292">
        <f t="shared" si="7"/>
        <v>0</v>
      </c>
      <c r="P311" s="881"/>
      <c r="Q311" s="456"/>
      <c r="R311" s="20"/>
    </row>
    <row r="312" spans="1:18" s="16" customFormat="1" hidden="1">
      <c r="A312" s="181" t="s">
        <v>1137</v>
      </c>
      <c r="B312" s="184">
        <f>[12]ESTIMACION!$E$305</f>
        <v>0</v>
      </c>
      <c r="C312" s="187"/>
      <c r="D312" s="186"/>
      <c r="E312" s="186"/>
      <c r="F312" s="185"/>
      <c r="G312" s="820">
        <f>SUM(G313:G314)</f>
        <v>0</v>
      </c>
      <c r="H312" s="449">
        <f>B312-G312</f>
        <v>0</v>
      </c>
      <c r="I312" s="201"/>
      <c r="J312" s="25"/>
      <c r="K312" s="17"/>
      <c r="L312" s="17"/>
      <c r="M312" s="25"/>
      <c r="O312" s="1292">
        <f t="shared" si="7"/>
        <v>0</v>
      </c>
      <c r="P312" s="881"/>
      <c r="Q312" s="456"/>
      <c r="R312" s="20"/>
    </row>
    <row r="313" spans="1:18" s="16" customFormat="1" ht="18" hidden="1" customHeight="1">
      <c r="A313" s="1370" t="str">
        <f>[12]ESTIMACION!$D$305</f>
        <v>FondoPréstamo BNCR, para Mejoras Matadero Municipal.</v>
      </c>
      <c r="B313" s="184"/>
      <c r="C313" s="187" t="s">
        <v>56</v>
      </c>
      <c r="D313" s="190" t="s">
        <v>1095</v>
      </c>
      <c r="E313" s="190"/>
      <c r="F313" s="181" t="s">
        <v>108</v>
      </c>
      <c r="G313" s="184"/>
      <c r="H313" s="449"/>
      <c r="I313" s="201"/>
      <c r="J313" s="25">
        <v>0</v>
      </c>
      <c r="K313" s="17"/>
      <c r="L313" s="17"/>
      <c r="M313" s="25"/>
      <c r="O313" s="1292">
        <f t="shared" si="7"/>
        <v>0</v>
      </c>
      <c r="P313" s="881"/>
      <c r="Q313" s="456"/>
      <c r="R313" s="20"/>
    </row>
    <row r="314" spans="1:18" s="16" customFormat="1" ht="24" hidden="1" customHeight="1">
      <c r="A314" s="1370"/>
      <c r="B314" s="184"/>
      <c r="C314" s="187"/>
      <c r="D314" s="190"/>
      <c r="E314" s="190"/>
      <c r="F314" s="181"/>
      <c r="G314" s="807"/>
      <c r="H314" s="449"/>
      <c r="I314" s="201"/>
      <c r="J314" s="25"/>
      <c r="K314" s="17"/>
      <c r="L314" s="17"/>
      <c r="M314" s="25"/>
      <c r="O314" s="1292">
        <f t="shared" si="7"/>
        <v>0</v>
      </c>
      <c r="P314" s="881"/>
      <c r="Q314" s="456"/>
      <c r="R314" s="20"/>
    </row>
    <row r="315" spans="1:18" s="16" customFormat="1" hidden="1">
      <c r="A315" s="1370"/>
      <c r="B315" s="184"/>
      <c r="C315" s="187"/>
      <c r="D315" s="190"/>
      <c r="E315" s="190"/>
      <c r="F315" s="185"/>
      <c r="G315" s="184"/>
      <c r="H315" s="449"/>
      <c r="I315" s="201"/>
      <c r="J315" s="25"/>
      <c r="K315" s="17"/>
      <c r="L315" s="17"/>
      <c r="M315" s="25"/>
      <c r="O315" s="1292">
        <f t="shared" si="7"/>
        <v>0</v>
      </c>
      <c r="P315" s="881"/>
      <c r="Q315" s="456"/>
      <c r="R315" s="20"/>
    </row>
    <row r="316" spans="1:18" s="16" customFormat="1" ht="18.75" thickBot="1">
      <c r="A316" s="216"/>
      <c r="B316" s="217"/>
      <c r="C316" s="218"/>
      <c r="D316" s="219"/>
      <c r="E316" s="219"/>
      <c r="F316" s="220"/>
      <c r="G316" s="217"/>
      <c r="H316" s="450">
        <f>SUM(H2:H315)</f>
        <v>-98203500</v>
      </c>
      <c r="I316" s="201"/>
      <c r="J316" s="25"/>
      <c r="K316" s="17"/>
      <c r="L316" s="17"/>
      <c r="M316" s="25"/>
      <c r="O316" s="1292">
        <f t="shared" si="7"/>
        <v>0</v>
      </c>
      <c r="P316" s="881"/>
      <c r="Q316" s="456"/>
      <c r="R316" s="20"/>
    </row>
    <row r="317" spans="1:18" s="95" customFormat="1" ht="24" customHeight="1" thickBot="1">
      <c r="A317" s="191" t="s">
        <v>301</v>
      </c>
      <c r="B317" s="197">
        <f>SUM(B8:B316)-B163</f>
        <v>6132696500</v>
      </c>
      <c r="C317" s="192"/>
      <c r="D317" s="193"/>
      <c r="E317" s="193"/>
      <c r="F317" s="194"/>
      <c r="G317" s="198">
        <f>G253+G260+G246+G231+G190+G184+G151+G145+G138+G132+G107+G63+G36+G9+G240+G275+G235+G172+G157+G305+G292+G269+G298+G285+G55+G178+G2307+G312+G163+G226+G218+G213+G203+G198+G124+G119+G114+G102+G91+G73+G69+G59+G50+G46</f>
        <v>6230900000</v>
      </c>
      <c r="H317" s="450">
        <f>B317-G317</f>
        <v>-98203500</v>
      </c>
      <c r="I317" s="204"/>
      <c r="J317" s="442"/>
      <c r="K317" s="825"/>
      <c r="L317" s="825"/>
      <c r="M317" s="442"/>
      <c r="O317" s="1292">
        <f t="shared" si="7"/>
        <v>0</v>
      </c>
      <c r="P317" s="882"/>
      <c r="Q317" s="1006"/>
      <c r="R317" s="875"/>
    </row>
    <row r="318" spans="1:18" s="6" customFormat="1" ht="18.75" customHeight="1">
      <c r="A318" s="20"/>
      <c r="B318" s="48"/>
      <c r="C318" s="48"/>
      <c r="D318" s="195"/>
      <c r="E318" s="196"/>
      <c r="F318" s="20"/>
      <c r="H318" s="48">
        <f>SUM(G8:G316)/2</f>
        <v>6230900000</v>
      </c>
      <c r="I318" s="201"/>
      <c r="J318" s="17">
        <f>B317-6230900000</f>
        <v>-98203500</v>
      </c>
      <c r="K318" s="17"/>
      <c r="L318" s="17"/>
      <c r="M318" s="17"/>
      <c r="O318" s="17"/>
      <c r="P318" s="695"/>
      <c r="Q318" s="456"/>
      <c r="R318" s="20"/>
    </row>
    <row r="319" spans="1:18" s="129" customFormat="1" ht="61.5" customHeight="1">
      <c r="A319" s="1386" t="s">
        <v>1604</v>
      </c>
      <c r="B319" s="1386"/>
      <c r="C319" s="1386"/>
      <c r="D319" s="1386"/>
      <c r="E319" s="1386"/>
      <c r="F319" s="1386"/>
      <c r="G319" s="1386"/>
      <c r="H319" s="1301">
        <f>G317-H318</f>
        <v>0</v>
      </c>
      <c r="I319" s="205"/>
      <c r="J319" s="443"/>
      <c r="K319" s="443"/>
      <c r="L319" s="443"/>
      <c r="M319" s="443"/>
      <c r="O319" s="443"/>
      <c r="P319" s="883"/>
      <c r="Q319" s="1007"/>
      <c r="R319" s="1008"/>
    </row>
    <row r="320" spans="1:18" s="6" customFormat="1">
      <c r="A320" s="130"/>
      <c r="B320" s="130"/>
      <c r="C320" s="130"/>
      <c r="D320" s="131"/>
      <c r="E320" s="140"/>
      <c r="F320" s="130"/>
      <c r="G320" s="130"/>
      <c r="H320" s="451"/>
      <c r="I320" s="201"/>
      <c r="J320" s="17"/>
      <c r="K320" s="17"/>
      <c r="L320" s="17"/>
      <c r="M320" s="17"/>
      <c r="O320" s="17"/>
      <c r="P320" s="695"/>
      <c r="Q320" s="456"/>
      <c r="R320" s="20"/>
    </row>
    <row r="321" spans="1:18" s="6" customFormat="1">
      <c r="A321" s="130"/>
      <c r="B321" s="130"/>
      <c r="C321" s="130"/>
      <c r="D321" s="131"/>
      <c r="E321" s="140"/>
      <c r="F321" s="130"/>
      <c r="G321" s="130"/>
      <c r="H321" s="451"/>
      <c r="I321" s="201"/>
      <c r="J321" s="17"/>
      <c r="K321" s="17"/>
      <c r="L321" s="17"/>
      <c r="M321" s="17"/>
      <c r="O321" s="17"/>
      <c r="P321" s="695"/>
      <c r="Q321" s="456"/>
      <c r="R321" s="20"/>
    </row>
    <row r="322" spans="1:18" s="6" customFormat="1">
      <c r="A322" s="130"/>
      <c r="B322" s="130"/>
      <c r="G322" s="130"/>
      <c r="H322" s="451"/>
      <c r="I322" s="201"/>
      <c r="J322" s="17"/>
      <c r="K322" s="17"/>
      <c r="L322" s="17"/>
      <c r="M322" s="17"/>
      <c r="O322" s="17"/>
      <c r="P322" s="695"/>
      <c r="Q322" s="456"/>
      <c r="R322" s="20"/>
    </row>
    <row r="323" spans="1:18">
      <c r="A323" s="1384" t="s">
        <v>124</v>
      </c>
      <c r="B323" s="1384"/>
      <c r="C323" s="1385" t="s">
        <v>1127</v>
      </c>
      <c r="D323" s="1385"/>
      <c r="E323" s="1385"/>
      <c r="F323" s="1385"/>
      <c r="G323" s="298">
        <v>41179</v>
      </c>
      <c r="H323" s="452"/>
      <c r="K323" s="19"/>
      <c r="L323" s="19"/>
    </row>
    <row r="324" spans="1:18" ht="14.25" customHeight="1">
      <c r="B324" s="15"/>
      <c r="C324" s="1387" t="s">
        <v>1241</v>
      </c>
      <c r="D324" s="1387"/>
      <c r="E324" s="1387"/>
      <c r="F324" s="1387"/>
      <c r="G324" s="49" t="s">
        <v>628</v>
      </c>
      <c r="H324" s="452"/>
      <c r="K324" s="19"/>
      <c r="L324" s="19"/>
    </row>
    <row r="325" spans="1:18" s="20" customFormat="1" ht="15">
      <c r="C325" s="1383" t="s">
        <v>1068</v>
      </c>
      <c r="D325" s="1383"/>
      <c r="E325" s="1383"/>
      <c r="F325" s="1383"/>
      <c r="H325" s="962"/>
      <c r="I325" s="392"/>
      <c r="J325" s="456"/>
      <c r="K325" s="456"/>
      <c r="L325" s="456"/>
      <c r="M325" s="456"/>
      <c r="O325" s="456"/>
      <c r="P325" s="963"/>
      <c r="Q325" s="456"/>
    </row>
  </sheetData>
  <sheetProtection password="AC08" sheet="1"/>
  <mergeCells count="30">
    <mergeCell ref="A37:A39"/>
    <mergeCell ref="A108:A109"/>
    <mergeCell ref="F299:F300"/>
    <mergeCell ref="A270:A272"/>
    <mergeCell ref="C325:F325"/>
    <mergeCell ref="A323:B323"/>
    <mergeCell ref="C323:F323"/>
    <mergeCell ref="A319:G319"/>
    <mergeCell ref="A313:A315"/>
    <mergeCell ref="C324:F324"/>
    <mergeCell ref="A286:A288"/>
    <mergeCell ref="A2:G2"/>
    <mergeCell ref="A3:G3"/>
    <mergeCell ref="A241:A243"/>
    <mergeCell ref="A6:A7"/>
    <mergeCell ref="B6:B7"/>
    <mergeCell ref="A146:A147"/>
    <mergeCell ref="A139:A140"/>
    <mergeCell ref="C6:G6"/>
    <mergeCell ref="A179:A180"/>
    <mergeCell ref="A236:A237"/>
    <mergeCell ref="A306:A307"/>
    <mergeCell ref="A10:A12"/>
    <mergeCell ref="A152:A153"/>
    <mergeCell ref="A158:A159"/>
    <mergeCell ref="A276:A278"/>
    <mergeCell ref="A299:A300"/>
    <mergeCell ref="A254:A257"/>
    <mergeCell ref="A261:A263"/>
    <mergeCell ref="A293:A294"/>
  </mergeCells>
  <phoneticPr fontId="0" type="noConversion"/>
  <printOptions horizontalCentered="1"/>
  <pageMargins left="0.98425196850393704" right="0.15748031496062992" top="0.19685039370078741" bottom="0.98425196850393704" header="0.19685039370078741" footer="0.39370078740157483"/>
  <pageSetup scale="95" fitToHeight="6" orientation="portrait" horizontalDpi="360" verticalDpi="360" r:id="rId1"/>
  <headerFooter alignWithMargins="0">
    <oddFooter>&amp;C&amp;"Times New Roman,Negrita"&amp;11Pág. &amp;P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7FE3A-1B8E-41B0-9B4F-1AE7D664A683}">
  <dimension ref="A1:R64"/>
  <sheetViews>
    <sheetView showGridLines="0" workbookViewId="0">
      <selection activeCell="R1" sqref="R1:R65536"/>
    </sheetView>
  </sheetViews>
  <sheetFormatPr defaultColWidth="11.5" defaultRowHeight="12"/>
  <cols>
    <col min="1" max="1" width="18.125" style="528" customWidth="1"/>
    <col min="2" max="2" width="11.875" style="528" customWidth="1"/>
    <col min="3" max="3" width="11.25" style="528" customWidth="1"/>
    <col min="4" max="4" width="6.125" style="528" customWidth="1"/>
    <col min="5" max="8" width="4.25" style="528" customWidth="1"/>
    <col min="9" max="9" width="3.25" style="528" customWidth="1"/>
    <col min="10" max="10" width="11.5" style="528" customWidth="1"/>
    <col min="11" max="11" width="8.875" style="528" customWidth="1"/>
    <col min="12" max="12" width="6.625" style="555" customWidth="1"/>
    <col min="13" max="16" width="3.875" style="528" customWidth="1"/>
    <col min="17" max="17" width="4.25" style="528" customWidth="1"/>
    <col min="18" max="18" width="6.25" style="528" hidden="1" customWidth="1"/>
    <col min="19" max="16384" width="11.5" style="528"/>
  </cols>
  <sheetData>
    <row r="1" spans="1:18" s="941" customFormat="1" ht="30.75" thickBot="1">
      <c r="A1" s="1036" t="s">
        <v>32</v>
      </c>
      <c r="B1" s="939"/>
      <c r="C1" s="939"/>
      <c r="D1" s="939"/>
      <c r="E1" s="940"/>
      <c r="F1" s="939"/>
      <c r="G1" s="939"/>
      <c r="H1" s="939"/>
      <c r="I1" s="939"/>
      <c r="J1" s="939"/>
      <c r="K1" s="939"/>
      <c r="L1" s="939"/>
      <c r="M1" s="939"/>
      <c r="N1" s="939"/>
      <c r="O1" s="939"/>
      <c r="P1" s="939"/>
      <c r="Q1" s="1037" t="s">
        <v>1357</v>
      </c>
      <c r="R1" s="1358" t="s">
        <v>1207</v>
      </c>
    </row>
    <row r="2" spans="1:18" s="527" customFormat="1" ht="30.75" customHeight="1">
      <c r="A2" s="1404" t="s">
        <v>125</v>
      </c>
      <c r="B2" s="1404"/>
      <c r="C2" s="1404"/>
      <c r="D2" s="1404"/>
      <c r="E2" s="1404"/>
      <c r="F2" s="1404"/>
      <c r="G2" s="1404"/>
      <c r="H2" s="1404"/>
      <c r="I2" s="1404"/>
      <c r="J2" s="1404"/>
      <c r="K2" s="1404"/>
      <c r="L2" s="1404"/>
      <c r="M2" s="1404"/>
      <c r="N2" s="1404"/>
      <c r="O2" s="1404"/>
      <c r="P2" s="1404"/>
    </row>
    <row r="3" spans="1:18" ht="18">
      <c r="A3" s="1405" t="s">
        <v>126</v>
      </c>
      <c r="B3" s="1405"/>
      <c r="C3" s="1405"/>
      <c r="D3" s="1405"/>
      <c r="E3" s="1405"/>
      <c r="F3" s="1405"/>
      <c r="G3" s="1405"/>
      <c r="H3" s="1405"/>
      <c r="I3" s="1405"/>
      <c r="J3" s="1405"/>
      <c r="K3" s="1405"/>
      <c r="L3" s="1405"/>
      <c r="M3" s="1405"/>
      <c r="N3" s="1405"/>
      <c r="O3" s="1405"/>
      <c r="P3" s="1405"/>
    </row>
    <row r="4" spans="1:18" ht="12.75">
      <c r="B4" s="529"/>
      <c r="C4" s="529"/>
      <c r="D4" s="529"/>
      <c r="E4" s="529"/>
      <c r="F4" s="529"/>
      <c r="G4" s="529"/>
      <c r="H4" s="529"/>
      <c r="I4" s="529"/>
      <c r="J4" s="529"/>
      <c r="K4" s="529"/>
      <c r="L4" s="529"/>
      <c r="M4" s="529"/>
      <c r="N4" s="529"/>
      <c r="O4" s="529"/>
      <c r="P4" s="529"/>
    </row>
    <row r="5" spans="1:18" ht="20.25">
      <c r="A5" s="530"/>
      <c r="B5" s="529"/>
      <c r="C5" s="529"/>
      <c r="D5" s="529"/>
      <c r="E5" s="529"/>
      <c r="F5" s="529"/>
      <c r="G5" s="529"/>
      <c r="H5" s="529"/>
      <c r="I5" s="529"/>
      <c r="J5" s="529"/>
      <c r="K5" s="529"/>
      <c r="L5" s="529"/>
      <c r="M5" s="529"/>
      <c r="N5" s="529"/>
      <c r="O5" s="529"/>
      <c r="P5" s="529"/>
    </row>
    <row r="6" spans="1:18" s="529" customFormat="1" ht="13.5" thickBot="1">
      <c r="B6" s="1406" t="s">
        <v>127</v>
      </c>
      <c r="C6" s="1406"/>
      <c r="D6" s="531"/>
      <c r="E6" s="1407" t="s">
        <v>128</v>
      </c>
      <c r="F6" s="1408"/>
      <c r="G6" s="1408"/>
      <c r="H6" s="1409"/>
      <c r="J6" s="1406" t="s">
        <v>129</v>
      </c>
      <c r="K6" s="1406"/>
      <c r="L6" s="531"/>
      <c r="M6" s="531"/>
      <c r="N6" s="1407" t="s">
        <v>128</v>
      </c>
      <c r="O6" s="1408"/>
      <c r="P6" s="1408"/>
      <c r="Q6" s="1409"/>
    </row>
    <row r="7" spans="1:18" s="529" customFormat="1" ht="26.25" customHeight="1" thickBot="1">
      <c r="A7" s="1400" t="s">
        <v>130</v>
      </c>
      <c r="B7" s="1402" t="s">
        <v>131</v>
      </c>
      <c r="C7" s="1390" t="s">
        <v>70</v>
      </c>
      <c r="D7" s="1398" t="s">
        <v>132</v>
      </c>
      <c r="E7" s="1390" t="s">
        <v>65</v>
      </c>
      <c r="F7" s="1390" t="s">
        <v>56</v>
      </c>
      <c r="G7" s="1390" t="s">
        <v>66</v>
      </c>
      <c r="H7" s="1390" t="s">
        <v>997</v>
      </c>
      <c r="I7" s="532"/>
      <c r="J7" s="1395" t="s">
        <v>131</v>
      </c>
      <c r="K7" s="1397" t="s">
        <v>70</v>
      </c>
      <c r="L7" s="1397"/>
      <c r="M7" s="1398" t="s">
        <v>132</v>
      </c>
      <c r="N7" s="1390" t="s">
        <v>65</v>
      </c>
      <c r="O7" s="1390" t="s">
        <v>56</v>
      </c>
      <c r="P7" s="1390" t="s">
        <v>66</v>
      </c>
      <c r="Q7" s="1390" t="s">
        <v>997</v>
      </c>
    </row>
    <row r="8" spans="1:18" s="529" customFormat="1" ht="26.25" customHeight="1" thickBot="1">
      <c r="A8" s="1401"/>
      <c r="B8" s="1403"/>
      <c r="C8" s="1391"/>
      <c r="D8" s="1399"/>
      <c r="E8" s="1391"/>
      <c r="F8" s="1391"/>
      <c r="G8" s="1391"/>
      <c r="H8" s="1391"/>
      <c r="I8" s="532"/>
      <c r="J8" s="1396"/>
      <c r="K8" s="533" t="s">
        <v>133</v>
      </c>
      <c r="L8" s="534" t="s">
        <v>134</v>
      </c>
      <c r="M8" s="1399"/>
      <c r="N8" s="1391"/>
      <c r="O8" s="1391"/>
      <c r="P8" s="1391"/>
      <c r="Q8" s="1391"/>
    </row>
    <row r="9" spans="1:18" s="529" customFormat="1" ht="12.75"/>
    <row r="10" spans="1:18" s="529" customFormat="1" ht="12.75">
      <c r="A10" s="535" t="s">
        <v>135</v>
      </c>
      <c r="B10" s="536"/>
      <c r="C10" s="536"/>
      <c r="D10" s="537">
        <f>(B10+C10)-(E10+F10+G10+H10)</f>
        <v>0</v>
      </c>
      <c r="E10" s="536"/>
      <c r="F10" s="536"/>
      <c r="G10" s="536"/>
      <c r="H10" s="536"/>
      <c r="I10" s="538"/>
      <c r="J10" s="536">
        <v>2</v>
      </c>
      <c r="K10" s="536"/>
      <c r="L10" s="536"/>
      <c r="M10" s="537">
        <f>(J10+K10)-(N10+O10+P10+Q10)</f>
        <v>0</v>
      </c>
      <c r="N10" s="536">
        <v>2</v>
      </c>
      <c r="O10" s="536"/>
      <c r="P10" s="536"/>
      <c r="Q10" s="536"/>
    </row>
    <row r="11" spans="1:18" s="529" customFormat="1" ht="12.75">
      <c r="A11" s="535"/>
      <c r="B11" s="538"/>
      <c r="C11" s="538"/>
      <c r="D11" s="538"/>
      <c r="E11" s="538"/>
      <c r="F11" s="538"/>
      <c r="G11" s="538"/>
      <c r="H11" s="538"/>
      <c r="I11" s="538"/>
      <c r="J11" s="538"/>
      <c r="K11" s="538"/>
      <c r="L11" s="538"/>
      <c r="M11" s="538"/>
      <c r="N11" s="538"/>
      <c r="O11" s="538"/>
      <c r="P11" s="538"/>
      <c r="Q11" s="538"/>
    </row>
    <row r="12" spans="1:18" s="529" customFormat="1" ht="12.75">
      <c r="A12" s="535" t="s">
        <v>136</v>
      </c>
      <c r="B12" s="536">
        <f>14+1</f>
        <v>15</v>
      </c>
      <c r="C12" s="536"/>
      <c r="D12" s="537">
        <f>(B12+C12)-(E12+F12+G12+H12)</f>
        <v>0</v>
      </c>
      <c r="E12" s="536"/>
      <c r="F12" s="536">
        <f>8+1</f>
        <v>9</v>
      </c>
      <c r="G12" s="536">
        <v>6</v>
      </c>
      <c r="H12" s="536"/>
      <c r="I12" s="538"/>
      <c r="J12" s="536">
        <v>30</v>
      </c>
      <c r="K12" s="536">
        <v>5</v>
      </c>
      <c r="L12" s="536">
        <v>1</v>
      </c>
      <c r="M12" s="537">
        <f>(J12+K12+L12)-(N12+O12+P12+Q12)</f>
        <v>0</v>
      </c>
      <c r="N12" s="536">
        <v>36</v>
      </c>
      <c r="O12" s="536"/>
      <c r="P12" s="536"/>
      <c r="Q12" s="536"/>
    </row>
    <row r="13" spans="1:18" s="529" customFormat="1" ht="12.75">
      <c r="A13" s="535"/>
      <c r="B13" s="538"/>
      <c r="C13" s="538"/>
      <c r="D13" s="538"/>
      <c r="E13" s="538"/>
      <c r="F13" s="538"/>
      <c r="G13" s="538"/>
      <c r="H13" s="538"/>
      <c r="I13" s="538"/>
      <c r="J13" s="538"/>
      <c r="K13" s="538"/>
      <c r="L13" s="538"/>
      <c r="M13" s="538"/>
      <c r="N13" s="538"/>
      <c r="O13" s="538"/>
      <c r="P13" s="538"/>
      <c r="Q13" s="538"/>
    </row>
    <row r="14" spans="1:18" s="529" customFormat="1" ht="12.75">
      <c r="A14" s="535" t="s">
        <v>137</v>
      </c>
      <c r="B14" s="536">
        <v>25</v>
      </c>
      <c r="C14" s="536">
        <v>2</v>
      </c>
      <c r="D14" s="537">
        <f>(B14+C14)-(E14+F14+G14+H14)</f>
        <v>0</v>
      </c>
      <c r="E14" s="536"/>
      <c r="F14" s="536">
        <v>14</v>
      </c>
      <c r="G14" s="536">
        <v>13</v>
      </c>
      <c r="H14" s="536"/>
      <c r="I14" s="538"/>
      <c r="J14" s="536">
        <v>61</v>
      </c>
      <c r="K14" s="536">
        <v>1</v>
      </c>
      <c r="L14" s="536">
        <v>0</v>
      </c>
      <c r="M14" s="537">
        <f>(J14+K14+L14)-(N14+O14+P14+Q14)</f>
        <v>0</v>
      </c>
      <c r="N14" s="536">
        <v>62</v>
      </c>
      <c r="O14" s="536"/>
      <c r="P14" s="536"/>
      <c r="Q14" s="536"/>
    </row>
    <row r="15" spans="1:18" s="529" customFormat="1" ht="12.75">
      <c r="A15" s="535"/>
      <c r="B15" s="538"/>
      <c r="C15" s="942" t="s">
        <v>1022</v>
      </c>
      <c r="D15" s="538"/>
      <c r="E15" s="538"/>
      <c r="F15" s="538"/>
      <c r="G15" s="538"/>
      <c r="H15" s="538"/>
      <c r="I15" s="538"/>
      <c r="J15" s="538"/>
      <c r="K15" s="538"/>
      <c r="L15" s="538"/>
      <c r="M15" s="538"/>
      <c r="N15" s="538"/>
      <c r="O15" s="538"/>
      <c r="P15" s="538"/>
      <c r="Q15" s="538"/>
    </row>
    <row r="16" spans="1:18" s="529" customFormat="1" ht="12.75">
      <c r="A16" s="535" t="s">
        <v>138</v>
      </c>
      <c r="B16" s="536">
        <v>4</v>
      </c>
      <c r="C16" s="536">
        <v>0</v>
      </c>
      <c r="D16" s="537">
        <f>(B16+C16)-(E16+F16+G16+H16)</f>
        <v>0</v>
      </c>
      <c r="E16" s="536"/>
      <c r="F16" s="536">
        <v>4</v>
      </c>
      <c r="G16" s="536">
        <v>0</v>
      </c>
      <c r="H16" s="536"/>
      <c r="I16" s="538"/>
      <c r="J16" s="536">
        <v>7</v>
      </c>
      <c r="K16" s="536">
        <v>0</v>
      </c>
      <c r="L16" s="536">
        <v>0</v>
      </c>
      <c r="M16" s="537">
        <f>(J16+K16+L16)-(N16+O16+P16+Q16)</f>
        <v>0</v>
      </c>
      <c r="N16" s="536">
        <v>7</v>
      </c>
      <c r="O16" s="536"/>
      <c r="P16" s="536"/>
      <c r="Q16" s="536"/>
    </row>
    <row r="17" spans="1:17" s="529" customFormat="1" ht="12.75">
      <c r="A17" s="535"/>
      <c r="B17" s="538"/>
      <c r="C17" s="538"/>
      <c r="D17" s="538"/>
      <c r="E17" s="538"/>
      <c r="F17" s="538"/>
      <c r="G17" s="538"/>
      <c r="H17" s="538"/>
      <c r="I17" s="538"/>
      <c r="J17" s="538"/>
      <c r="K17" s="538"/>
      <c r="L17" s="538"/>
      <c r="M17" s="538"/>
      <c r="N17" s="538"/>
      <c r="O17" s="538"/>
      <c r="P17" s="538"/>
      <c r="Q17" s="538"/>
    </row>
    <row r="18" spans="1:17" s="529" customFormat="1" ht="12.75">
      <c r="A18" s="535" t="s">
        <v>139</v>
      </c>
      <c r="B18" s="536">
        <f>94+5</f>
        <v>99</v>
      </c>
      <c r="C18" s="536"/>
      <c r="D18" s="537">
        <f>(B18+C18)-(E18+F18+G18+H18)</f>
        <v>0</v>
      </c>
      <c r="E18" s="536"/>
      <c r="F18" s="536">
        <f>58+5</f>
        <v>63</v>
      </c>
      <c r="G18" s="536">
        <v>36</v>
      </c>
      <c r="H18" s="536"/>
      <c r="I18" s="538"/>
      <c r="J18" s="536">
        <v>2</v>
      </c>
      <c r="K18" s="536"/>
      <c r="L18" s="536"/>
      <c r="M18" s="537">
        <f>(J18+K18)-(N18+O18+P18+Q18)</f>
        <v>0</v>
      </c>
      <c r="N18" s="536">
        <v>2</v>
      </c>
      <c r="O18" s="536"/>
      <c r="P18" s="536"/>
      <c r="Q18" s="536"/>
    </row>
    <row r="19" spans="1:17" s="529" customFormat="1" ht="13.5" thickBot="1">
      <c r="A19" s="539"/>
    </row>
    <row r="20" spans="1:17" s="529" customFormat="1" ht="15.75" thickBot="1">
      <c r="A20" s="540" t="s">
        <v>140</v>
      </c>
      <c r="B20" s="541">
        <f>SUM(B10:B18)</f>
        <v>143</v>
      </c>
      <c r="C20" s="541">
        <f>SUM(C10:C18)</f>
        <v>2</v>
      </c>
      <c r="D20" s="542">
        <f>(B20+C20)-(E20+F20+G20+H20)</f>
        <v>0</v>
      </c>
      <c r="E20" s="543">
        <f>SUM(E10:E18)</f>
        <v>0</v>
      </c>
      <c r="F20" s="541">
        <f>SUM(F10:F18)</f>
        <v>90</v>
      </c>
      <c r="G20" s="541">
        <f>SUM(G10:G18)</f>
        <v>55</v>
      </c>
      <c r="H20" s="541">
        <f>SUM(H10:H18)</f>
        <v>0</v>
      </c>
      <c r="I20" s="544"/>
      <c r="J20" s="543">
        <f>SUM(J10:J18)</f>
        <v>102</v>
      </c>
      <c r="K20" s="541">
        <f>SUM(K10:K18)</f>
        <v>6</v>
      </c>
      <c r="L20" s="541">
        <f>SUM(L10:L18)</f>
        <v>1</v>
      </c>
      <c r="M20" s="545">
        <f>(J20+K20+L20)-(N20+O20+P20+Q20)</f>
        <v>0</v>
      </c>
      <c r="N20" s="543">
        <f>SUM(N10:N18)</f>
        <v>109</v>
      </c>
      <c r="O20" s="541">
        <f>SUM(O10:O18)</f>
        <v>0</v>
      </c>
      <c r="P20" s="541">
        <f>SUM(P10:P18)</f>
        <v>0</v>
      </c>
      <c r="Q20" s="541">
        <f>SUM(Q10:Q18)</f>
        <v>0</v>
      </c>
    </row>
    <row r="21" spans="1:17" ht="12.75">
      <c r="A21" s="529"/>
      <c r="B21" s="529"/>
      <c r="C21" s="529"/>
      <c r="D21" s="529"/>
      <c r="E21" s="529"/>
      <c r="F21" s="529"/>
      <c r="G21" s="529"/>
      <c r="H21" s="529"/>
      <c r="I21" s="529"/>
      <c r="J21" s="529"/>
      <c r="K21" s="529"/>
      <c r="L21" s="529"/>
      <c r="M21" s="529"/>
      <c r="N21" s="529"/>
      <c r="O21" s="529"/>
      <c r="P21" s="529"/>
    </row>
    <row r="22" spans="1:17" ht="13.5" thickBot="1">
      <c r="A22" s="529"/>
      <c r="B22" s="529"/>
      <c r="C22" s="529"/>
      <c r="D22" s="529"/>
      <c r="E22" s="529"/>
      <c r="F22" s="529"/>
      <c r="G22" s="529"/>
      <c r="H22" s="529"/>
      <c r="I22" s="529"/>
      <c r="J22" s="529"/>
      <c r="K22" s="529"/>
      <c r="L22" s="529"/>
      <c r="M22" s="529"/>
      <c r="N22" s="529"/>
      <c r="O22" s="529"/>
      <c r="P22" s="529"/>
    </row>
    <row r="23" spans="1:17" ht="16.5" customHeight="1" thickBot="1">
      <c r="A23" s="546" t="s">
        <v>141</v>
      </c>
      <c r="B23" s="547"/>
      <c r="C23" s="548"/>
      <c r="D23" s="549"/>
      <c r="E23" s="529"/>
      <c r="F23" s="546" t="s">
        <v>142</v>
      </c>
      <c r="G23" s="547"/>
      <c r="H23" s="550"/>
      <c r="I23" s="550"/>
      <c r="J23" s="550"/>
      <c r="K23" s="550"/>
      <c r="L23" s="550"/>
      <c r="M23" s="548"/>
      <c r="N23" s="529"/>
      <c r="O23" s="529"/>
      <c r="P23" s="529"/>
    </row>
    <row r="24" spans="1:17" ht="12.75">
      <c r="A24" s="551" t="s">
        <v>143</v>
      </c>
      <c r="B24" s="529"/>
      <c r="C24" s="529">
        <f>B20+J20</f>
        <v>245</v>
      </c>
      <c r="D24" s="529"/>
      <c r="E24" s="529"/>
      <c r="F24" s="551" t="s">
        <v>144</v>
      </c>
      <c r="G24" s="529"/>
      <c r="H24" s="529"/>
      <c r="I24" s="529"/>
      <c r="J24" s="529"/>
      <c r="K24" s="529"/>
      <c r="L24" s="529"/>
      <c r="M24" s="529">
        <f>E20+N20</f>
        <v>109</v>
      </c>
      <c r="N24" s="529"/>
      <c r="O24" s="529"/>
      <c r="P24" s="529"/>
    </row>
    <row r="25" spans="1:17" ht="12.75">
      <c r="A25" s="551" t="s">
        <v>145</v>
      </c>
      <c r="B25" s="529"/>
      <c r="C25" s="529">
        <f>C20+K20+L20</f>
        <v>9</v>
      </c>
      <c r="D25" s="529"/>
      <c r="E25" s="529"/>
      <c r="F25" s="551" t="s">
        <v>146</v>
      </c>
      <c r="G25" s="529"/>
      <c r="H25" s="529"/>
      <c r="I25" s="529"/>
      <c r="J25" s="529"/>
      <c r="K25" s="529"/>
      <c r="L25" s="529"/>
      <c r="M25" s="529">
        <f>F20+O20</f>
        <v>90</v>
      </c>
      <c r="N25" s="529"/>
      <c r="O25" s="529"/>
      <c r="P25" s="529"/>
    </row>
    <row r="26" spans="1:17" ht="12.75">
      <c r="A26" s="551" t="s">
        <v>147</v>
      </c>
      <c r="B26" s="529"/>
      <c r="C26" s="529">
        <f>B20+C20</f>
        <v>145</v>
      </c>
      <c r="D26" s="529"/>
      <c r="E26" s="529"/>
      <c r="F26" s="551" t="s">
        <v>148</v>
      </c>
      <c r="G26" s="529"/>
      <c r="H26" s="529"/>
      <c r="I26" s="529"/>
      <c r="J26" s="529"/>
      <c r="K26" s="529"/>
      <c r="L26" s="529"/>
      <c r="M26" s="529">
        <f>G20+P20</f>
        <v>55</v>
      </c>
      <c r="N26" s="529"/>
      <c r="O26" s="529"/>
      <c r="P26" s="529"/>
    </row>
    <row r="27" spans="1:17" ht="13.5" thickBot="1">
      <c r="A27" s="551" t="s">
        <v>149</v>
      </c>
      <c r="B27" s="529"/>
      <c r="C27" s="529">
        <f>J20+K20+L20</f>
        <v>109</v>
      </c>
      <c r="D27" s="529"/>
      <c r="E27" s="529"/>
      <c r="F27" s="551" t="s">
        <v>150</v>
      </c>
      <c r="G27" s="529"/>
      <c r="H27" s="529"/>
      <c r="I27" s="529"/>
      <c r="J27" s="529"/>
      <c r="K27" s="529"/>
      <c r="L27" s="529"/>
      <c r="M27" s="529">
        <f>H20+Q20</f>
        <v>0</v>
      </c>
      <c r="N27" s="529"/>
      <c r="O27" s="529"/>
      <c r="P27" s="529"/>
    </row>
    <row r="28" spans="1:17" ht="19.5" customHeight="1" thickBot="1">
      <c r="A28" s="546" t="s">
        <v>151</v>
      </c>
      <c r="B28" s="547"/>
      <c r="C28" s="548">
        <f>B20+C20+J20+K20+L20</f>
        <v>254</v>
      </c>
      <c r="D28" s="549"/>
      <c r="E28" s="529"/>
      <c r="F28" s="546" t="s">
        <v>151</v>
      </c>
      <c r="G28" s="547"/>
      <c r="H28" s="550"/>
      <c r="I28" s="550"/>
      <c r="J28" s="550"/>
      <c r="K28" s="550"/>
      <c r="L28" s="550"/>
      <c r="M28" s="548">
        <f>SUM(M24:M27)</f>
        <v>254</v>
      </c>
      <c r="N28" s="529"/>
      <c r="O28" s="529"/>
      <c r="P28" s="529"/>
    </row>
    <row r="29" spans="1:17" ht="27.75" customHeight="1">
      <c r="A29" s="549"/>
      <c r="B29" s="549"/>
      <c r="C29" s="549"/>
      <c r="D29" s="549"/>
      <c r="E29" s="529"/>
      <c r="F29" s="529"/>
      <c r="G29" s="529"/>
      <c r="H29" s="529"/>
      <c r="I29" s="529"/>
      <c r="J29" s="529"/>
      <c r="K29" s="529"/>
      <c r="L29" s="529"/>
      <c r="M29" s="529"/>
      <c r="N29" s="529"/>
      <c r="O29" s="529"/>
      <c r="P29" s="529"/>
    </row>
    <row r="30" spans="1:17" ht="12.75">
      <c r="A30" s="549"/>
      <c r="B30" s="549"/>
      <c r="C30" s="549"/>
      <c r="D30" s="549"/>
      <c r="E30" s="529"/>
      <c r="F30" s="529"/>
      <c r="G30" s="529"/>
      <c r="H30" s="529"/>
      <c r="I30" s="529"/>
      <c r="J30" s="529"/>
      <c r="K30" s="529"/>
      <c r="L30" s="529"/>
      <c r="M30" s="529"/>
      <c r="N30" s="529"/>
      <c r="O30" s="529"/>
      <c r="P30" s="529"/>
    </row>
    <row r="31" spans="1:17" ht="12.75">
      <c r="A31" s="549"/>
      <c r="B31" s="549"/>
      <c r="C31" s="549"/>
      <c r="D31" s="549"/>
      <c r="E31" s="529"/>
      <c r="F31" s="529"/>
      <c r="G31" s="529"/>
      <c r="H31" s="529"/>
      <c r="I31" s="529"/>
      <c r="J31" s="529"/>
      <c r="K31" s="529"/>
      <c r="L31" s="529"/>
      <c r="M31" s="529"/>
      <c r="N31" s="529"/>
      <c r="O31" s="529"/>
      <c r="P31" s="529"/>
    </row>
    <row r="32" spans="1:17" ht="12.75">
      <c r="A32" s="549"/>
      <c r="B32" s="549"/>
      <c r="C32" s="549"/>
      <c r="D32" s="549"/>
      <c r="E32" s="529"/>
      <c r="F32" s="529"/>
      <c r="G32" s="529"/>
      <c r="H32" s="529"/>
      <c r="I32" s="529"/>
      <c r="J32" s="529"/>
      <c r="K32" s="529"/>
      <c r="L32" s="529"/>
      <c r="M32" s="529"/>
      <c r="N32" s="529"/>
      <c r="O32" s="529"/>
      <c r="P32" s="529"/>
    </row>
    <row r="33" spans="1:16" ht="12.75">
      <c r="A33" s="549"/>
      <c r="B33" s="549"/>
      <c r="C33" s="549"/>
      <c r="D33" s="549"/>
      <c r="E33" s="529"/>
      <c r="F33" s="529"/>
      <c r="G33" s="529"/>
      <c r="H33" s="529"/>
      <c r="I33" s="529"/>
      <c r="J33" s="529"/>
      <c r="K33" s="529"/>
      <c r="L33" s="529"/>
      <c r="M33" s="529"/>
      <c r="N33" s="529"/>
      <c r="O33" s="529"/>
      <c r="P33" s="529"/>
    </row>
    <row r="34" spans="1:16" ht="12.75">
      <c r="A34" s="529"/>
      <c r="B34" s="529"/>
      <c r="C34" s="529"/>
      <c r="D34" s="529"/>
      <c r="E34" s="529"/>
      <c r="F34" s="529"/>
      <c r="G34" s="529"/>
      <c r="H34" s="529"/>
      <c r="I34" s="529"/>
      <c r="J34" s="529"/>
      <c r="K34" s="529"/>
      <c r="L34" s="529"/>
      <c r="M34" s="529"/>
      <c r="N34" s="529"/>
      <c r="O34" s="529"/>
      <c r="P34" s="529"/>
    </row>
    <row r="35" spans="1:16" ht="12.75">
      <c r="A35" s="529"/>
      <c r="B35" s="529"/>
      <c r="C35" s="529"/>
      <c r="D35" s="529"/>
      <c r="E35" s="529"/>
      <c r="F35" s="529"/>
      <c r="G35" s="529"/>
      <c r="H35" s="529"/>
      <c r="I35" s="529"/>
      <c r="J35" s="529"/>
      <c r="K35" s="529"/>
      <c r="L35" s="529"/>
      <c r="M35" s="529"/>
      <c r="N35" s="529"/>
      <c r="O35" s="529"/>
      <c r="P35" s="529"/>
    </row>
    <row r="36" spans="1:16" ht="12.75">
      <c r="A36" s="529"/>
      <c r="B36" s="529"/>
      <c r="C36" s="529"/>
      <c r="D36" s="529"/>
      <c r="E36" s="529"/>
      <c r="F36" s="529"/>
      <c r="G36" s="529"/>
      <c r="H36" s="529"/>
      <c r="I36" s="529"/>
      <c r="J36" s="529"/>
      <c r="K36" s="529"/>
      <c r="L36" s="529"/>
      <c r="M36" s="529"/>
      <c r="N36" s="529"/>
      <c r="O36" s="529"/>
      <c r="P36" s="529"/>
    </row>
    <row r="37" spans="1:16" ht="12.75">
      <c r="A37" s="529"/>
      <c r="B37" s="529"/>
      <c r="C37" s="529"/>
      <c r="D37" s="529"/>
      <c r="E37" s="529"/>
      <c r="F37" s="529"/>
      <c r="G37" s="529"/>
      <c r="H37" s="529"/>
      <c r="I37" s="529"/>
      <c r="J37" s="529"/>
      <c r="K37" s="529"/>
      <c r="L37" s="529"/>
      <c r="M37" s="529"/>
      <c r="N37" s="529"/>
      <c r="O37" s="529"/>
      <c r="P37" s="529"/>
    </row>
    <row r="38" spans="1:16" ht="12.75">
      <c r="A38" s="529"/>
      <c r="B38" s="529"/>
      <c r="C38" s="529"/>
      <c r="D38" s="529"/>
      <c r="E38" s="529"/>
      <c r="F38" s="529"/>
      <c r="G38" s="529"/>
      <c r="H38" s="529"/>
      <c r="I38" s="529"/>
      <c r="J38" s="529"/>
      <c r="K38" s="529"/>
      <c r="L38" s="529"/>
      <c r="M38" s="529"/>
      <c r="N38" s="529"/>
      <c r="O38" s="529"/>
      <c r="P38" s="529"/>
    </row>
    <row r="39" spans="1:16" ht="12.75">
      <c r="A39" s="529"/>
      <c r="B39" s="529"/>
      <c r="C39" s="529"/>
      <c r="D39" s="529"/>
      <c r="E39" s="529"/>
      <c r="F39" s="529"/>
      <c r="G39" s="529"/>
      <c r="H39" s="529"/>
      <c r="I39" s="529"/>
      <c r="J39" s="529"/>
      <c r="K39" s="529"/>
      <c r="L39" s="529"/>
      <c r="M39" s="529"/>
      <c r="N39" s="529"/>
      <c r="O39" s="529"/>
      <c r="P39" s="529"/>
    </row>
    <row r="40" spans="1:16" ht="12.75">
      <c r="A40" s="529"/>
      <c r="B40" s="529"/>
      <c r="C40" s="529"/>
      <c r="D40" s="529"/>
      <c r="E40" s="529"/>
      <c r="F40" s="529"/>
      <c r="G40" s="529"/>
      <c r="H40" s="529"/>
      <c r="I40" s="529"/>
      <c r="J40" s="529"/>
      <c r="K40" s="529"/>
      <c r="L40" s="529"/>
      <c r="M40" s="529"/>
      <c r="N40" s="529"/>
      <c r="O40" s="529"/>
      <c r="P40" s="529"/>
    </row>
    <row r="41" spans="1:16" ht="12.75">
      <c r="A41" s="529"/>
      <c r="B41" s="529"/>
      <c r="C41" s="529"/>
      <c r="D41" s="529"/>
      <c r="E41" s="529"/>
      <c r="F41" s="529"/>
      <c r="G41" s="529"/>
      <c r="H41" s="529"/>
      <c r="I41" s="529"/>
      <c r="J41" s="529"/>
      <c r="K41" s="529"/>
      <c r="L41" s="529"/>
      <c r="M41" s="529"/>
      <c r="N41" s="529"/>
      <c r="O41" s="529"/>
      <c r="P41" s="529"/>
    </row>
    <row r="42" spans="1:16" ht="12.75">
      <c r="A42" s="529"/>
      <c r="B42" s="529"/>
      <c r="C42" s="529"/>
      <c r="D42" s="529"/>
      <c r="E42" s="529"/>
      <c r="F42" s="529"/>
      <c r="G42" s="529"/>
      <c r="H42" s="529"/>
      <c r="I42" s="529"/>
      <c r="J42" s="529"/>
      <c r="K42" s="529"/>
      <c r="L42" s="529"/>
      <c r="M42" s="529"/>
      <c r="N42" s="529"/>
      <c r="O42" s="529"/>
      <c r="P42" s="529"/>
    </row>
    <row r="43" spans="1:16" ht="12.75">
      <c r="A43" s="529"/>
      <c r="B43" s="529"/>
      <c r="C43" s="529"/>
      <c r="D43" s="529"/>
      <c r="E43" s="529"/>
      <c r="F43" s="529"/>
      <c r="G43" s="529"/>
      <c r="H43" s="529"/>
      <c r="I43" s="529"/>
      <c r="J43" s="529"/>
      <c r="K43" s="529"/>
      <c r="L43" s="529"/>
      <c r="M43" s="529"/>
      <c r="N43" s="529"/>
      <c r="O43" s="529"/>
      <c r="P43" s="529"/>
    </row>
    <row r="44" spans="1:16" ht="12.75">
      <c r="A44" s="529"/>
      <c r="B44" s="529"/>
      <c r="C44" s="529"/>
      <c r="D44" s="529"/>
      <c r="E44" s="529"/>
      <c r="F44" s="529"/>
      <c r="G44" s="529"/>
      <c r="H44" s="529"/>
      <c r="I44" s="529"/>
      <c r="J44" s="529"/>
      <c r="K44" s="529"/>
      <c r="L44" s="529"/>
      <c r="M44" s="529"/>
      <c r="N44" s="529"/>
      <c r="O44" s="529"/>
      <c r="P44" s="529"/>
    </row>
    <row r="45" spans="1:16" ht="12.75">
      <c r="A45" s="529"/>
      <c r="B45" s="529"/>
      <c r="C45" s="529"/>
      <c r="D45" s="529"/>
      <c r="E45" s="529"/>
      <c r="F45" s="529"/>
      <c r="G45" s="529"/>
      <c r="H45" s="529"/>
      <c r="I45" s="529"/>
      <c r="J45" s="529"/>
      <c r="K45" s="529"/>
      <c r="L45" s="529"/>
      <c r="M45" s="529"/>
      <c r="N45" s="529"/>
      <c r="O45" s="529"/>
      <c r="P45" s="529"/>
    </row>
    <row r="46" spans="1:16" ht="12.75">
      <c r="A46" s="529"/>
      <c r="B46" s="529"/>
      <c r="C46" s="529"/>
      <c r="D46" s="529"/>
      <c r="E46" s="529"/>
      <c r="F46" s="529"/>
      <c r="G46" s="529"/>
      <c r="H46" s="529"/>
      <c r="I46" s="529"/>
      <c r="J46" s="529"/>
      <c r="K46" s="529"/>
      <c r="L46" s="529"/>
      <c r="M46" s="529"/>
      <c r="N46" s="529"/>
      <c r="O46" s="529"/>
      <c r="P46" s="529"/>
    </row>
    <row r="47" spans="1:16" ht="12.75">
      <c r="A47" s="529"/>
      <c r="B47" s="529"/>
      <c r="C47" s="529"/>
      <c r="D47" s="529"/>
      <c r="E47" s="529"/>
      <c r="F47" s="529"/>
      <c r="G47" s="529"/>
      <c r="H47" s="529"/>
      <c r="I47" s="529"/>
      <c r="J47" s="529"/>
      <c r="K47" s="529"/>
      <c r="L47" s="529"/>
      <c r="M47" s="529"/>
      <c r="N47" s="529"/>
      <c r="O47" s="529"/>
      <c r="P47" s="529"/>
    </row>
    <row r="48" spans="1:16" ht="12.75">
      <c r="A48" s="529"/>
      <c r="B48" s="529"/>
      <c r="C48" s="529"/>
      <c r="D48" s="529"/>
      <c r="E48" s="529"/>
      <c r="F48" s="529"/>
      <c r="G48" s="529"/>
      <c r="H48" s="529"/>
      <c r="I48" s="529"/>
      <c r="J48" s="529"/>
      <c r="K48" s="529"/>
      <c r="L48" s="529"/>
      <c r="M48" s="529"/>
      <c r="N48" s="529"/>
      <c r="O48" s="529"/>
      <c r="P48" s="529"/>
    </row>
    <row r="49" spans="1:17" ht="12.75">
      <c r="A49" s="529"/>
      <c r="B49" s="529"/>
      <c r="C49" s="529"/>
      <c r="D49" s="529"/>
      <c r="E49" s="529"/>
      <c r="F49" s="529"/>
      <c r="G49" s="529"/>
      <c r="H49" s="529"/>
      <c r="I49" s="529"/>
      <c r="J49" s="529"/>
      <c r="K49" s="529"/>
      <c r="L49" s="529"/>
      <c r="M49" s="529"/>
      <c r="N49" s="529"/>
      <c r="O49" s="529"/>
      <c r="P49" s="529"/>
    </row>
    <row r="50" spans="1:17" ht="12.75">
      <c r="A50" s="529"/>
      <c r="B50" s="529"/>
      <c r="C50" s="529"/>
      <c r="D50" s="529"/>
      <c r="E50" s="529"/>
      <c r="F50" s="529"/>
      <c r="G50" s="529"/>
      <c r="H50" s="529"/>
      <c r="I50" s="529"/>
      <c r="J50" s="529"/>
      <c r="K50" s="529"/>
      <c r="L50" s="529"/>
      <c r="M50" s="529"/>
      <c r="N50" s="529"/>
      <c r="O50" s="529"/>
      <c r="P50" s="529"/>
    </row>
    <row r="51" spans="1:17" ht="12.75">
      <c r="A51" s="529"/>
      <c r="B51" s="529"/>
      <c r="C51" s="529"/>
      <c r="D51" s="529"/>
      <c r="E51" s="529"/>
      <c r="F51" s="529"/>
      <c r="G51" s="529"/>
      <c r="H51" s="529"/>
      <c r="I51" s="529"/>
      <c r="J51" s="529"/>
      <c r="K51" s="529"/>
      <c r="L51" s="529"/>
      <c r="M51" s="529"/>
      <c r="N51" s="529"/>
      <c r="O51" s="529"/>
      <c r="P51" s="529"/>
    </row>
    <row r="52" spans="1:17" ht="12.75">
      <c r="A52" s="529"/>
      <c r="B52" s="529"/>
      <c r="C52" s="529"/>
      <c r="D52" s="529"/>
      <c r="E52" s="529"/>
      <c r="F52" s="529"/>
      <c r="G52" s="529"/>
      <c r="H52" s="529"/>
      <c r="I52" s="529"/>
      <c r="J52" s="529"/>
      <c r="K52" s="529"/>
      <c r="L52" s="529"/>
      <c r="M52" s="529"/>
      <c r="N52" s="529"/>
      <c r="O52" s="529"/>
      <c r="P52" s="529"/>
    </row>
    <row r="53" spans="1:17" ht="12.75">
      <c r="A53" s="529"/>
      <c r="B53" s="529"/>
      <c r="C53" s="529"/>
      <c r="D53" s="529"/>
      <c r="E53" s="529"/>
      <c r="F53" s="529"/>
      <c r="G53" s="529"/>
      <c r="H53" s="529"/>
      <c r="I53" s="529"/>
      <c r="J53" s="529"/>
      <c r="K53" s="529"/>
      <c r="L53" s="529"/>
      <c r="M53" s="529"/>
      <c r="N53" s="529"/>
      <c r="O53" s="529"/>
      <c r="P53" s="529"/>
    </row>
    <row r="54" spans="1:17" ht="12.75">
      <c r="A54" s="529"/>
      <c r="B54" s="529"/>
      <c r="C54" s="529"/>
      <c r="D54" s="529"/>
      <c r="E54" s="529"/>
      <c r="F54" s="529"/>
      <c r="G54" s="529"/>
      <c r="H54" s="529"/>
      <c r="I54" s="529"/>
      <c r="J54" s="529"/>
      <c r="K54" s="529"/>
      <c r="L54" s="529"/>
      <c r="M54" s="529"/>
      <c r="N54" s="529"/>
      <c r="O54" s="529"/>
      <c r="P54" s="529"/>
    </row>
    <row r="55" spans="1:17" ht="12.75">
      <c r="A55" s="529"/>
      <c r="B55" s="529"/>
      <c r="C55" s="529"/>
      <c r="D55" s="529"/>
      <c r="E55" s="529"/>
      <c r="F55" s="529"/>
      <c r="G55" s="529"/>
      <c r="H55" s="529"/>
      <c r="I55" s="529"/>
      <c r="J55" s="529"/>
      <c r="K55" s="529"/>
      <c r="L55" s="529"/>
      <c r="M55" s="529"/>
      <c r="N55" s="529"/>
      <c r="O55" s="529"/>
      <c r="P55" s="529"/>
    </row>
    <row r="56" spans="1:17" ht="12.75">
      <c r="A56" s="529"/>
      <c r="B56" s="529"/>
      <c r="C56" s="529"/>
      <c r="D56" s="529"/>
      <c r="E56" s="529"/>
      <c r="F56" s="529"/>
      <c r="G56" s="529"/>
      <c r="H56" s="529"/>
      <c r="I56" s="529"/>
      <c r="J56" s="529"/>
      <c r="K56" s="529"/>
      <c r="L56" s="529"/>
      <c r="M56" s="529"/>
      <c r="N56" s="529"/>
      <c r="O56" s="529"/>
      <c r="P56" s="529"/>
    </row>
    <row r="57" spans="1:17" ht="12.75">
      <c r="A57" s="529"/>
      <c r="B57" s="529"/>
      <c r="C57" s="529"/>
      <c r="D57" s="529"/>
      <c r="E57" s="529"/>
      <c r="F57" s="529"/>
      <c r="G57" s="529"/>
      <c r="H57" s="529"/>
      <c r="I57" s="529"/>
      <c r="J57" s="529"/>
      <c r="K57" s="529"/>
      <c r="L57" s="529"/>
      <c r="M57" s="529"/>
      <c r="N57" s="529"/>
      <c r="O57" s="529"/>
      <c r="P57" s="529"/>
    </row>
    <row r="58" spans="1:17" ht="12.75">
      <c r="A58" s="529"/>
      <c r="B58" s="529"/>
      <c r="C58" s="529"/>
      <c r="D58" s="529"/>
      <c r="E58" s="529"/>
      <c r="F58" s="529"/>
      <c r="G58" s="529"/>
      <c r="H58" s="529"/>
      <c r="I58" s="529"/>
      <c r="J58" s="529"/>
      <c r="K58" s="529"/>
      <c r="L58" s="529"/>
      <c r="M58" s="529"/>
      <c r="N58" s="529"/>
      <c r="O58" s="529"/>
      <c r="P58" s="529"/>
    </row>
    <row r="59" spans="1:17" ht="12.75">
      <c r="A59" s="552" t="s">
        <v>152</v>
      </c>
      <c r="B59" s="552"/>
      <c r="C59" s="553"/>
      <c r="D59" s="553"/>
      <c r="E59" s="529"/>
      <c r="F59" s="529"/>
      <c r="G59" s="529"/>
      <c r="H59" s="529"/>
      <c r="I59" s="553"/>
      <c r="J59" s="553"/>
      <c r="K59" s="529"/>
      <c r="L59" s="529"/>
      <c r="M59" s="529"/>
      <c r="N59" s="529"/>
      <c r="O59" s="529"/>
      <c r="P59" s="529"/>
    </row>
    <row r="60" spans="1:17" ht="12.75">
      <c r="A60" s="1392"/>
      <c r="B60" s="1392"/>
      <c r="C60" s="1392"/>
      <c r="D60" s="1392"/>
      <c r="E60" s="1392"/>
      <c r="F60" s="1392"/>
      <c r="G60" s="1392"/>
      <c r="H60" s="1392"/>
      <c r="I60" s="1392"/>
      <c r="J60" s="1392"/>
      <c r="K60" s="1392"/>
      <c r="L60" s="1392"/>
      <c r="M60" s="1392"/>
      <c r="N60" s="1392"/>
      <c r="O60" s="1392"/>
      <c r="P60" s="1392"/>
      <c r="Q60" s="1392"/>
    </row>
    <row r="61" spans="1:17" ht="12.75">
      <c r="A61" s="554"/>
      <c r="B61" s="554"/>
      <c r="C61" s="554"/>
      <c r="D61" s="554"/>
      <c r="E61" s="554"/>
      <c r="F61" s="554"/>
      <c r="G61" s="554"/>
      <c r="H61" s="554"/>
      <c r="I61" s="554"/>
      <c r="J61" s="554"/>
      <c r="K61" s="554"/>
      <c r="L61" s="554"/>
      <c r="M61" s="554"/>
      <c r="N61" s="554"/>
      <c r="O61" s="554"/>
      <c r="P61" s="529"/>
    </row>
    <row r="62" spans="1:17" ht="12.75">
      <c r="A62" s="554"/>
      <c r="B62" s="554"/>
      <c r="C62" s="554"/>
      <c r="D62" s="554"/>
      <c r="E62" s="554"/>
      <c r="H62" s="554"/>
      <c r="I62" s="554"/>
      <c r="J62" s="554"/>
      <c r="K62" s="554"/>
      <c r="L62" s="554"/>
      <c r="M62" s="554"/>
      <c r="N62" s="554"/>
      <c r="O62" s="554"/>
      <c r="P62" s="529"/>
    </row>
    <row r="63" spans="1:17" s="723" customFormat="1" ht="16.5">
      <c r="A63" s="972" t="s">
        <v>153</v>
      </c>
      <c r="B63" s="1393" t="s">
        <v>1317</v>
      </c>
      <c r="C63" s="1393"/>
      <c r="D63" s="1393"/>
      <c r="E63" s="1393"/>
      <c r="F63" s="1393"/>
      <c r="G63" s="973"/>
      <c r="H63" s="973"/>
      <c r="I63" s="1394">
        <v>41178</v>
      </c>
      <c r="J63" s="1394"/>
    </row>
    <row r="64" spans="1:17" s="723" customFormat="1" ht="12.75" customHeight="1">
      <c r="A64" s="973"/>
      <c r="B64" s="1388" t="s">
        <v>1183</v>
      </c>
      <c r="C64" s="1388"/>
      <c r="D64" s="1388"/>
      <c r="E64" s="1388"/>
      <c r="F64" s="1388"/>
      <c r="G64" s="973"/>
      <c r="H64" s="973"/>
      <c r="I64" s="1389" t="s">
        <v>628</v>
      </c>
      <c r="J64" s="1389"/>
    </row>
  </sheetData>
  <sheetProtection password="AC08" sheet="1"/>
  <mergeCells count="26">
    <mergeCell ref="A2:P2"/>
    <mergeCell ref="A3:P3"/>
    <mergeCell ref="B6:C6"/>
    <mergeCell ref="E6:H6"/>
    <mergeCell ref="J6:K6"/>
    <mergeCell ref="N6:Q6"/>
    <mergeCell ref="J7:J8"/>
    <mergeCell ref="K7:L7"/>
    <mergeCell ref="M7:M8"/>
    <mergeCell ref="N7:N8"/>
    <mergeCell ref="A7:A8"/>
    <mergeCell ref="B7:B8"/>
    <mergeCell ref="C7:C8"/>
    <mergeCell ref="D7:D8"/>
    <mergeCell ref="E7:E8"/>
    <mergeCell ref="F7:F8"/>
    <mergeCell ref="B64:F64"/>
    <mergeCell ref="I64:J64"/>
    <mergeCell ref="O7:O8"/>
    <mergeCell ref="P7:P8"/>
    <mergeCell ref="Q7:Q8"/>
    <mergeCell ref="A60:Q60"/>
    <mergeCell ref="B63:F63"/>
    <mergeCell ref="I63:J63"/>
    <mergeCell ref="G7:G8"/>
    <mergeCell ref="H7:H8"/>
  </mergeCells>
  <printOptions horizontalCentered="1" verticalCentered="1"/>
  <pageMargins left="0.98425196850393704" right="0.15748031496062992" top="0.19685039370078741" bottom="0.86" header="0.19685039370078741" footer="0.39370078740157483"/>
  <pageSetup scale="75" orientation="portrait" r:id="rId1"/>
  <headerFooter alignWithMargins="0">
    <oddFooter>&amp;C&amp;"Times New Roman,Negrita"Pág. &amp;P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34</vt:i4>
      </vt:variant>
    </vt:vector>
  </HeadingPairs>
  <TitlesOfParts>
    <vt:vector size="66" baseType="lpstr">
      <vt:lpstr>PORTADA</vt:lpstr>
      <vt:lpstr>INDICE</vt:lpstr>
      <vt:lpstr>INGRESOS</vt:lpstr>
      <vt:lpstr>OBJ. GASTO (contraloría)</vt:lpstr>
      <vt:lpstr>DETALLE GENERAL GASTOS (2)</vt:lpstr>
      <vt:lpstr>POR SERVICIO</vt:lpstr>
      <vt:lpstr>ANEXOS</vt:lpstr>
      <vt:lpstr>ESTADO APLICACION</vt:lpstr>
      <vt:lpstr>ESTRUC. ORG.</vt:lpstr>
      <vt:lpstr>SAL.ALCALDE</vt:lpstr>
      <vt:lpstr>DEUDA</vt:lpstr>
      <vt:lpstr>CUADRO 5 Transf</vt:lpstr>
      <vt:lpstr>ING. GASTO</vt:lpstr>
      <vt:lpstr>20% SANIDAD</vt:lpstr>
      <vt:lpstr>DIETAS </vt:lpstr>
      <vt:lpstr>CARGAS</vt:lpstr>
      <vt:lpstr>GASTOS PUBLICIDAD</vt:lpstr>
      <vt:lpstr>APORTES EN ESPECIE </vt:lpstr>
      <vt:lpstr>ADQ. BIENES</vt:lpstr>
      <vt:lpstr>INCENTIVOS SAL</vt:lpstr>
      <vt:lpstr>GAST.ADM.</vt:lpstr>
      <vt:lpstr>RELACION CONTRA </vt:lpstr>
      <vt:lpstr>PROHIB.</vt:lpstr>
      <vt:lpstr>DEDICAC.</vt:lpstr>
      <vt:lpstr>PLAN</vt:lpstr>
      <vt:lpstr>Catálogo</vt:lpstr>
      <vt:lpstr>Hoja10</vt:lpstr>
      <vt:lpstr>Hoja11</vt:lpstr>
      <vt:lpstr>Hoja12</vt:lpstr>
      <vt:lpstr>Hoja13</vt:lpstr>
      <vt:lpstr>Hoja14</vt:lpstr>
      <vt:lpstr>Hoja15</vt:lpstr>
      <vt:lpstr>'20% SANIDAD'!Print_Area</vt:lpstr>
      <vt:lpstr>'ADQ. BIENES'!Print_Area</vt:lpstr>
      <vt:lpstr>'APORTES EN ESPECIE '!Print_Area</vt:lpstr>
      <vt:lpstr>CARGAS!Print_Area</vt:lpstr>
      <vt:lpstr>Catálogo!Print_Area</vt:lpstr>
      <vt:lpstr>'CUADRO 5 Transf'!Print_Area</vt:lpstr>
      <vt:lpstr>DEDICAC.!Print_Area</vt:lpstr>
      <vt:lpstr>'DETALLE GENERAL GASTOS (2)'!Print_Area</vt:lpstr>
      <vt:lpstr>DEUDA!Print_Area</vt:lpstr>
      <vt:lpstr>'DIETAS '!Print_Area</vt:lpstr>
      <vt:lpstr>'ESTADO APLICACION'!Print_Area</vt:lpstr>
      <vt:lpstr>'ESTRUC. ORG.'!Print_Area</vt:lpstr>
      <vt:lpstr>GAST.ADM.!Print_Area</vt:lpstr>
      <vt:lpstr>'GASTOS PUBLICIDAD'!Print_Area</vt:lpstr>
      <vt:lpstr>'INCENTIVOS SAL'!Print_Area</vt:lpstr>
      <vt:lpstr>INDICE!Print_Area</vt:lpstr>
      <vt:lpstr>'ING. GASTO'!Print_Area</vt:lpstr>
      <vt:lpstr>INGRESOS!Print_Area</vt:lpstr>
      <vt:lpstr>'OBJ. GASTO (contraloría)'!Print_Area</vt:lpstr>
      <vt:lpstr>PLAN!Print_Area</vt:lpstr>
      <vt:lpstr>'POR SERVICIO'!Print_Area</vt:lpstr>
      <vt:lpstr>PORTADA!Print_Area</vt:lpstr>
      <vt:lpstr>PROHIB.!Print_Area</vt:lpstr>
      <vt:lpstr>'RELACION CONTRA '!Print_Area</vt:lpstr>
      <vt:lpstr>SAL.ALCALDE!Print_Area</vt:lpstr>
      <vt:lpstr>'APORTES EN ESPECIE '!Print_Titles</vt:lpstr>
      <vt:lpstr>Catálogo!Print_Titles</vt:lpstr>
      <vt:lpstr>'DETALLE GENERAL GASTOS (2)'!Print_Titles</vt:lpstr>
      <vt:lpstr>'ESTADO APLICACION'!Print_Titles</vt:lpstr>
      <vt:lpstr>INDICE!Print_Titles</vt:lpstr>
      <vt:lpstr>INGRESOS!Print_Titles</vt:lpstr>
      <vt:lpstr>'OBJ. GASTO (contraloría)'!Print_Titles</vt:lpstr>
      <vt:lpstr>'POR SERVICIO'!Print_Titles</vt:lpstr>
      <vt:lpstr>'RELACION CONTRA '!Print_Titles</vt:lpstr>
    </vt:vector>
  </TitlesOfParts>
  <Company>M.P.Z.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tres</dc:creator>
  <cp:lastModifiedBy>Ruben Mora Vargas</cp:lastModifiedBy>
  <cp:lastPrinted>2013-04-29T13:26:43Z</cp:lastPrinted>
  <dcterms:created xsi:type="dcterms:W3CDTF">2000-08-19T21:45:29Z</dcterms:created>
  <dcterms:modified xsi:type="dcterms:W3CDTF">2025-07-28T20:17:08Z</dcterms:modified>
</cp:coreProperties>
</file>